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 tabRatio="799" firstSheet="31" activeTab="41"/>
  </bookViews>
  <sheets>
    <sheet name="INFO" sheetId="1" r:id="rId1"/>
    <sheet name="Wskaźniki" sheetId="16" r:id="rId2"/>
    <sheet name="Charakterystyka_2020" sheetId="10" state="hidden" r:id="rId3"/>
    <sheet name="Charakterystyka_2024" sheetId="50" r:id="rId4"/>
    <sheet name="En. elektryczna_2020" sheetId="2" state="hidden" r:id="rId5"/>
    <sheet name="En. elektryczna_2024" sheetId="49" r:id="rId6"/>
    <sheet name="Gaz_2020" sheetId="5" state="hidden" r:id="rId7"/>
    <sheet name="Gaz wykr." sheetId="6" state="hidden" r:id="rId8"/>
    <sheet name="Gaz_2024" sheetId="51" r:id="rId9"/>
    <sheet name="Ciepło sieciowe_2020" sheetId="37" state="hidden" r:id="rId10"/>
    <sheet name="Ciepło sieciowe_2024" sheetId="52" r:id="rId11"/>
    <sheet name="Ciepło założenia" sheetId="48" r:id="rId12"/>
    <sheet name="Ciepło_gosp. dom._2020" sheetId="12" state="hidden" r:id="rId13"/>
    <sheet name="Ciepło_gosp. dom._2024" sheetId="53" r:id="rId14"/>
    <sheet name="Ankietyzacja mieszkanców_2014" sheetId="25" r:id="rId15"/>
    <sheet name="Budynki komunalne_2014" sheetId="31" r:id="rId16"/>
    <sheet name="Budynku niekomunalne_2014" sheetId="30" r:id="rId17"/>
    <sheet name="Oświetlenie komunalne_2020" sheetId="14" state="hidden" r:id="rId18"/>
    <sheet name="Oświetlenie komunalne_2024" sheetId="54" r:id="rId19"/>
    <sheet name="Transport prywatny_2020" sheetId="26" state="hidden" r:id="rId20"/>
    <sheet name="Transport prywatny_2024" sheetId="55" r:id="rId21"/>
    <sheet name="Transport komercyjny_2020" sheetId="32" state="hidden" r:id="rId22"/>
    <sheet name="Transport komercyjny_2024" sheetId="56" r:id="rId23"/>
    <sheet name="Transport kom. autobusy_2020" sheetId="33" state="hidden" r:id="rId24"/>
    <sheet name="Transport kom. autobusy_2024" sheetId="57" r:id="rId25"/>
    <sheet name="Tabor gminny_2020" sheetId="34" state="hidden" r:id="rId26"/>
    <sheet name="Tabor gminny_2024" sheetId="58" r:id="rId27"/>
    <sheet name="Podsumowanie transport_2020" sheetId="35" state="hidden" r:id="rId28"/>
    <sheet name="Podsumowanie transport_2024" sheetId="60" r:id="rId29"/>
    <sheet name="Końcowe zuż. energii_2020" sheetId="42" state="hidden" r:id="rId30"/>
    <sheet name="Emisja CO2_2020" sheetId="44" state="hidden" r:id="rId31"/>
    <sheet name="Końcowe zuż. energii_2024" sheetId="59" r:id="rId32"/>
    <sheet name="Emisja CO2_2024" sheetId="61" r:id="rId33"/>
    <sheet name="Działania_2020" sheetId="29" state="hidden" r:id="rId34"/>
    <sheet name="Działania_zrealizowane_do_2020" sheetId="63" state="hidden" r:id="rId35"/>
    <sheet name="Działania_zrealizowane " sheetId="47" state="hidden" r:id="rId36"/>
    <sheet name="Działania_2024" sheetId="62" r:id="rId37"/>
    <sheet name="Działania_do realizacji" sheetId="64" state="hidden" r:id="rId38"/>
    <sheet name="Planowane rezultaty" sheetId="28" r:id="rId39"/>
    <sheet name="Wskaźniki  rezultatów" sheetId="65" r:id="rId40"/>
    <sheet name="Działanie P&amp;R" sheetId="40" r:id="rId41"/>
    <sheet name="Ścieżki rowerowe" sheetId="41" r:id="rId42"/>
  </sheets>
  <externalReferences>
    <externalReference r:id="rId43"/>
    <externalReference r:id="rId44"/>
  </externalReferences>
  <definedNames>
    <definedName name="_xlnm._FilterDatabase" localSheetId="14" hidden="1">'Ankietyzacja mieszkanców_2014'!$B$5:$O$94</definedName>
    <definedName name="_xlnm.Print_Area" localSheetId="14">'Ankietyzacja mieszkanców_2014'!$A$1:$P$98</definedName>
    <definedName name="_xlnm.Print_Area" localSheetId="2">Charakterystyka_2020!$A$1:$AJ$122</definedName>
    <definedName name="_xlnm.Print_Area" localSheetId="3">Charakterystyka_2024!$A$1:$AJ$122</definedName>
    <definedName name="_xlnm.Print_Area" localSheetId="12">'Ciepło_gosp. dom._2020'!$A$1:$K$28</definedName>
    <definedName name="_xlnm.Print_Area" localSheetId="13">'Ciepło_gosp. dom._2024'!$A$1:$K$28</definedName>
    <definedName name="_xlnm.Print_Area" localSheetId="33">Działania_2020!$A$1:$Q$27</definedName>
    <definedName name="_xlnm.Print_Area" localSheetId="36">Działania_2024!$A$1:$Q$31</definedName>
    <definedName name="_xlnm.Print_Area" localSheetId="34">Działania_zrealizowane_do_2020!$A$1:$Q$27</definedName>
    <definedName name="_xlnm.Print_Area" localSheetId="4">'En. elektryczna_2020'!$A$1:$K$22</definedName>
    <definedName name="_xlnm.Print_Area" localSheetId="5">'En. elektryczna_2024'!$A$1:$K$22</definedName>
    <definedName name="_xlnm.Print_Area" localSheetId="7">'Gaz wykr.'!$A$1:$L$38</definedName>
    <definedName name="_xlnm.Print_Area" localSheetId="6">Gaz_2020!$A$1:$L$21</definedName>
    <definedName name="_xlnm.Print_Area" localSheetId="8">Gaz_2024!$A$1:$L$21</definedName>
    <definedName name="_xlnm.Print_Area" localSheetId="31">'Końcowe zuż. energii_2024'!$B$1:$R$48</definedName>
    <definedName name="_xlnm.Print_Area" localSheetId="17">'Oświetlenie komunalne_2020'!$A$1:$I$14</definedName>
    <definedName name="_xlnm.Print_Area" localSheetId="18">'Oświetlenie komunalne_2024'!$A$1:$I$14</definedName>
    <definedName name="_xlnm.Print_Area" localSheetId="38">'Planowane rezultaty'!$A$1:$G$27</definedName>
    <definedName name="_xlnm.Print_Area" localSheetId="19">'Transport prywatny_2020'!$A$1:$P$34</definedName>
    <definedName name="_xlnm.Print_Area" localSheetId="20">'Transport prywatny_2024'!$A$1:$P$34</definedName>
    <definedName name="_xlnm.Print_Area" localSheetId="1">Wskaźniki!$A$1:$E$36</definedName>
    <definedName name="_xlnm.Print_Titles" localSheetId="2">Charakterystyka_2020!$2:$3</definedName>
    <definedName name="_xlnm.Print_Titles" localSheetId="3">Charakterystyka_2024!$2:$3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62" l="1"/>
  <c r="J31" i="62"/>
  <c r="I31" i="62"/>
  <c r="H31" i="62"/>
  <c r="D23" i="30"/>
  <c r="E23" i="30"/>
  <c r="G23" i="30"/>
  <c r="H23" i="30"/>
  <c r="J23" i="30"/>
  <c r="L23" i="30"/>
  <c r="L22" i="30"/>
  <c r="K22" i="30"/>
  <c r="J22" i="30"/>
  <c r="I22" i="30"/>
  <c r="H22" i="30"/>
  <c r="B13" i="54" l="1"/>
  <c r="C6" i="65" l="1"/>
  <c r="C13" i="65"/>
  <c r="C12" i="65"/>
  <c r="I21" i="61" l="1"/>
  <c r="D14" i="31"/>
  <c r="D34" i="48"/>
  <c r="K9" i="59" l="1"/>
  <c r="D11" i="48"/>
  <c r="D12" i="49"/>
  <c r="E14" i="31"/>
  <c r="N3" i="31" s="1"/>
  <c r="D9" i="59"/>
  <c r="J8" i="31"/>
  <c r="H8" i="31"/>
  <c r="I14" i="31"/>
  <c r="K9" i="61"/>
  <c r="G13" i="31"/>
  <c r="J13" i="31" s="1"/>
  <c r="J14" i="31" s="1"/>
  <c r="I13" i="31"/>
  <c r="H13" i="31"/>
  <c r="J12" i="31"/>
  <c r="H12" i="31"/>
  <c r="E12" i="31"/>
  <c r="I12" i="31" s="1"/>
  <c r="I25" i="63"/>
  <c r="J25" i="63" s="1"/>
  <c r="E10" i="51" l="1"/>
  <c r="G14" i="31"/>
  <c r="E19" i="51"/>
  <c r="D10" i="51" l="1"/>
  <c r="F10" i="51"/>
  <c r="O10" i="29"/>
  <c r="I12" i="62" l="1"/>
  <c r="D61" i="47" l="1"/>
  <c r="D59" i="47"/>
  <c r="D59" i="64"/>
  <c r="J12" i="62"/>
  <c r="J11" i="62"/>
  <c r="I11" i="62"/>
  <c r="D11" i="59"/>
  <c r="D10" i="59"/>
  <c r="C13" i="59"/>
  <c r="C11" i="59"/>
  <c r="C10" i="59"/>
  <c r="H7" i="30"/>
  <c r="J11" i="31"/>
  <c r="H11" i="31"/>
  <c r="H14" i="62" l="1"/>
  <c r="H16" i="62"/>
  <c r="K13" i="63"/>
  <c r="I9" i="63" l="1"/>
  <c r="I9" i="29"/>
  <c r="J9" i="63"/>
  <c r="C28" i="48"/>
  <c r="D61" i="64" l="1"/>
  <c r="D60" i="64"/>
  <c r="D68" i="64" l="1"/>
  <c r="D65" i="64"/>
  <c r="D55" i="64"/>
  <c r="D33" i="64"/>
  <c r="D39" i="64" s="1"/>
  <c r="D20" i="64"/>
  <c r="D13" i="64"/>
  <c r="D8" i="64"/>
  <c r="D9" i="64" s="1"/>
  <c r="D11" i="64" l="1"/>
  <c r="J25" i="62" s="1"/>
  <c r="K25" i="62"/>
  <c r="D14" i="64"/>
  <c r="D23" i="64"/>
  <c r="D26" i="64"/>
  <c r="D36" i="64"/>
  <c r="D37" i="64" l="1"/>
  <c r="K23" i="62"/>
  <c r="D24" i="64"/>
  <c r="K24" i="62"/>
  <c r="D27" i="64" l="1"/>
  <c r="J24" i="62"/>
  <c r="D40" i="64"/>
  <c r="J23" i="62"/>
  <c r="D68" i="47"/>
  <c r="D38" i="61"/>
  <c r="O68" i="61"/>
  <c r="N68" i="61"/>
  <c r="M68" i="61"/>
  <c r="L68" i="61"/>
  <c r="K68" i="61"/>
  <c r="J68" i="61"/>
  <c r="I68" i="61"/>
  <c r="H68" i="61"/>
  <c r="G68" i="61"/>
  <c r="F68" i="61"/>
  <c r="E68" i="61"/>
  <c r="D68" i="61"/>
  <c r="C68" i="61"/>
  <c r="Q47" i="61"/>
  <c r="P47" i="61"/>
  <c r="O47" i="61"/>
  <c r="N47" i="61"/>
  <c r="M47" i="61"/>
  <c r="L47" i="61"/>
  <c r="K47" i="61"/>
  <c r="J47" i="61"/>
  <c r="G47" i="61"/>
  <c r="E47" i="61"/>
  <c r="D47" i="61"/>
  <c r="C47" i="61"/>
  <c r="B43" i="61"/>
  <c r="Q40" i="61"/>
  <c r="P40" i="61"/>
  <c r="O40" i="61"/>
  <c r="N40" i="61"/>
  <c r="M40" i="61"/>
  <c r="L40" i="61"/>
  <c r="J40" i="61"/>
  <c r="J51" i="61" s="1"/>
  <c r="I40" i="61"/>
  <c r="H40" i="61"/>
  <c r="F40" i="61"/>
  <c r="Q21" i="61"/>
  <c r="P21" i="61"/>
  <c r="O21" i="61"/>
  <c r="N21" i="61"/>
  <c r="M21" i="61"/>
  <c r="L21" i="61"/>
  <c r="K21" i="61"/>
  <c r="J21" i="61"/>
  <c r="G21" i="61"/>
  <c r="E21" i="61"/>
  <c r="D21" i="61"/>
  <c r="C21" i="61"/>
  <c r="Q14" i="61"/>
  <c r="Q25" i="61" s="1"/>
  <c r="P14" i="61"/>
  <c r="P25" i="61" s="1"/>
  <c r="O14" i="61"/>
  <c r="N14" i="61"/>
  <c r="N25" i="61" s="1"/>
  <c r="M14" i="61"/>
  <c r="M25" i="61" s="1"/>
  <c r="L14" i="61"/>
  <c r="L25" i="61" s="1"/>
  <c r="J14" i="61"/>
  <c r="J25" i="61" s="1"/>
  <c r="I14" i="61"/>
  <c r="H14" i="61"/>
  <c r="F14" i="61"/>
  <c r="B13" i="60"/>
  <c r="Q41" i="59"/>
  <c r="P41" i="59"/>
  <c r="O41" i="59"/>
  <c r="N41" i="59"/>
  <c r="M41" i="59"/>
  <c r="L41" i="59"/>
  <c r="K41" i="59"/>
  <c r="J41" i="59"/>
  <c r="G41" i="59"/>
  <c r="E41" i="59"/>
  <c r="D41" i="59"/>
  <c r="C41" i="59"/>
  <c r="B39" i="59"/>
  <c r="B37" i="59"/>
  <c r="Q34" i="59"/>
  <c r="P34" i="59"/>
  <c r="N34" i="59"/>
  <c r="M34" i="59"/>
  <c r="L34" i="59"/>
  <c r="I34" i="59"/>
  <c r="H34" i="59"/>
  <c r="F34" i="59"/>
  <c r="J33" i="59"/>
  <c r="J32" i="59"/>
  <c r="J31" i="59"/>
  <c r="J30" i="59"/>
  <c r="J29" i="59"/>
  <c r="Q21" i="59"/>
  <c r="P21" i="59"/>
  <c r="O21" i="59"/>
  <c r="N21" i="59"/>
  <c r="M21" i="59"/>
  <c r="L21" i="59"/>
  <c r="K21" i="59"/>
  <c r="J21" i="59"/>
  <c r="G21" i="59"/>
  <c r="E21" i="59"/>
  <c r="D21" i="59"/>
  <c r="C21" i="59"/>
  <c r="Q14" i="59"/>
  <c r="P14" i="59"/>
  <c r="N14" i="59"/>
  <c r="M14" i="59"/>
  <c r="L14" i="59"/>
  <c r="J14" i="59"/>
  <c r="I14" i="59"/>
  <c r="H14" i="59"/>
  <c r="F14" i="59"/>
  <c r="D14" i="59"/>
  <c r="G39" i="58"/>
  <c r="F39" i="58"/>
  <c r="E39" i="58"/>
  <c r="D39" i="58"/>
  <c r="G38" i="58"/>
  <c r="F38" i="58"/>
  <c r="E38" i="58"/>
  <c r="D38" i="58"/>
  <c r="G37" i="58"/>
  <c r="F37" i="58"/>
  <c r="E37" i="58"/>
  <c r="D37" i="58"/>
  <c r="E36" i="58"/>
  <c r="D36" i="58"/>
  <c r="G35" i="58"/>
  <c r="F35" i="58"/>
  <c r="E35" i="58"/>
  <c r="D35" i="58"/>
  <c r="G34" i="58"/>
  <c r="F34" i="58"/>
  <c r="E34" i="58"/>
  <c r="D34" i="58"/>
  <c r="G33" i="58"/>
  <c r="F33" i="58"/>
  <c r="E33" i="58"/>
  <c r="D33" i="58"/>
  <c r="G32" i="58"/>
  <c r="F32" i="58"/>
  <c r="E32" i="58"/>
  <c r="D32" i="58"/>
  <c r="G31" i="58"/>
  <c r="F31" i="58"/>
  <c r="E31" i="58"/>
  <c r="D31" i="58"/>
  <c r="G30" i="58"/>
  <c r="F30" i="58"/>
  <c r="E30" i="58"/>
  <c r="D30" i="58"/>
  <c r="G29" i="58"/>
  <c r="F29" i="58"/>
  <c r="E29" i="58"/>
  <c r="D29" i="58"/>
  <c r="G28" i="58"/>
  <c r="F28" i="58"/>
  <c r="E28" i="58"/>
  <c r="D28" i="58"/>
  <c r="D40" i="58" s="1"/>
  <c r="E14" i="58"/>
  <c r="D14" i="58"/>
  <c r="G13" i="58"/>
  <c r="F13" i="58"/>
  <c r="E13" i="58"/>
  <c r="D13" i="58"/>
  <c r="G12" i="58"/>
  <c r="F12" i="58"/>
  <c r="E12" i="58"/>
  <c r="D12" i="58"/>
  <c r="E11" i="58"/>
  <c r="D11" i="58"/>
  <c r="G10" i="58"/>
  <c r="F10" i="58"/>
  <c r="E10" i="58"/>
  <c r="D10" i="58"/>
  <c r="G9" i="58"/>
  <c r="F9" i="58"/>
  <c r="E9" i="58"/>
  <c r="D9" i="58"/>
  <c r="G8" i="58"/>
  <c r="F8" i="58"/>
  <c r="E8" i="58"/>
  <c r="D8" i="58"/>
  <c r="G7" i="58"/>
  <c r="F7" i="58"/>
  <c r="E7" i="58"/>
  <c r="D7" i="58"/>
  <c r="G6" i="58"/>
  <c r="F6" i="58"/>
  <c r="E6" i="58"/>
  <c r="D6" i="58"/>
  <c r="G5" i="58"/>
  <c r="F5" i="58"/>
  <c r="E5" i="58"/>
  <c r="D5" i="58"/>
  <c r="G4" i="58"/>
  <c r="F4" i="58"/>
  <c r="E4" i="58"/>
  <c r="D4" i="58"/>
  <c r="G3" i="58"/>
  <c r="F3" i="58"/>
  <c r="E3" i="58"/>
  <c r="D3" i="58"/>
  <c r="D15" i="58" s="1"/>
  <c r="B24" i="57"/>
  <c r="K21" i="57"/>
  <c r="L21" i="57" s="1"/>
  <c r="F27" i="57" s="1"/>
  <c r="F43" i="61" s="1"/>
  <c r="J21" i="57"/>
  <c r="J20" i="57"/>
  <c r="K19" i="57"/>
  <c r="E25" i="57" s="1"/>
  <c r="J19" i="57"/>
  <c r="B19" i="57"/>
  <c r="C13" i="57"/>
  <c r="K5" i="57"/>
  <c r="J5" i="57"/>
  <c r="K4" i="57"/>
  <c r="E14" i="57" s="1"/>
  <c r="J4" i="57"/>
  <c r="K3" i="57"/>
  <c r="M3" i="57" s="1"/>
  <c r="J3" i="57"/>
  <c r="L27" i="56"/>
  <c r="K27" i="56"/>
  <c r="J27" i="56"/>
  <c r="J26" i="56"/>
  <c r="J25" i="56"/>
  <c r="B25" i="56"/>
  <c r="K24" i="56"/>
  <c r="J24" i="56"/>
  <c r="J23" i="56"/>
  <c r="J22" i="56"/>
  <c r="B22" i="56"/>
  <c r="C16" i="56"/>
  <c r="K8" i="56"/>
  <c r="L8" i="56" s="1"/>
  <c r="J8" i="56"/>
  <c r="K7" i="56"/>
  <c r="L7" i="56" s="1"/>
  <c r="J7" i="56"/>
  <c r="K6" i="56"/>
  <c r="L6" i="56" s="1"/>
  <c r="J6" i="56"/>
  <c r="K5" i="56"/>
  <c r="J5" i="56"/>
  <c r="K4" i="56"/>
  <c r="L4" i="56" s="1"/>
  <c r="J4" i="56"/>
  <c r="K3" i="56"/>
  <c r="L3" i="56" s="1"/>
  <c r="J3" i="56"/>
  <c r="J27" i="55"/>
  <c r="J26" i="55"/>
  <c r="J25" i="55"/>
  <c r="K24" i="55"/>
  <c r="J24" i="55"/>
  <c r="K23" i="55"/>
  <c r="L23" i="55" s="1"/>
  <c r="J23" i="55"/>
  <c r="J22" i="55"/>
  <c r="C16" i="55"/>
  <c r="K8" i="55"/>
  <c r="J8" i="55"/>
  <c r="K7" i="55"/>
  <c r="J7" i="55"/>
  <c r="K6" i="55"/>
  <c r="J6" i="55"/>
  <c r="K5" i="55"/>
  <c r="J5" i="55"/>
  <c r="K4" i="55"/>
  <c r="J4" i="55"/>
  <c r="K3" i="55"/>
  <c r="J3" i="55"/>
  <c r="B14" i="54"/>
  <c r="B7" i="54"/>
  <c r="D6" i="54"/>
  <c r="E6" i="54" s="1"/>
  <c r="C6" i="54"/>
  <c r="C7" i="54" s="1"/>
  <c r="I17" i="53"/>
  <c r="E17" i="53"/>
  <c r="E15" i="53"/>
  <c r="E14" i="53"/>
  <c r="I13" i="53"/>
  <c r="H13" i="53"/>
  <c r="I9" i="53"/>
  <c r="I18" i="53" s="1"/>
  <c r="I7" i="53"/>
  <c r="I16" i="53" s="1"/>
  <c r="I6" i="53"/>
  <c r="I15" i="53" s="1"/>
  <c r="I5" i="53"/>
  <c r="I14" i="53" s="1"/>
  <c r="Y105" i="50"/>
  <c r="D13" i="52"/>
  <c r="D29" i="59" s="1"/>
  <c r="F14" i="52"/>
  <c r="F13" i="52"/>
  <c r="E13" i="52"/>
  <c r="F12" i="52"/>
  <c r="F11" i="52"/>
  <c r="F8" i="52"/>
  <c r="G8" i="52" s="1"/>
  <c r="D10" i="61" s="1"/>
  <c r="F7" i="52"/>
  <c r="G7" i="52" s="1"/>
  <c r="D9" i="61" s="1"/>
  <c r="F6" i="52"/>
  <c r="G6" i="52" s="1"/>
  <c r="D11" i="61" s="1"/>
  <c r="F5" i="52"/>
  <c r="G5" i="52" s="1"/>
  <c r="D13" i="61" s="1"/>
  <c r="G19" i="51"/>
  <c r="F19" i="51"/>
  <c r="E29" i="59" s="1"/>
  <c r="G18" i="51"/>
  <c r="G17" i="51"/>
  <c r="G16" i="51"/>
  <c r="F15" i="51"/>
  <c r="G10" i="51"/>
  <c r="E9" i="59"/>
  <c r="B10" i="51"/>
  <c r="B19" i="51" s="1"/>
  <c r="G9" i="51"/>
  <c r="E9" i="51"/>
  <c r="F9" i="51" s="1"/>
  <c r="E11" i="59" s="1"/>
  <c r="B9" i="51"/>
  <c r="B18" i="51" s="1"/>
  <c r="G8" i="51"/>
  <c r="E8" i="51"/>
  <c r="F8" i="51" s="1"/>
  <c r="E10" i="59" s="1"/>
  <c r="B8" i="51"/>
  <c r="B17" i="51" s="1"/>
  <c r="G7" i="51"/>
  <c r="E7" i="51"/>
  <c r="H7" i="51" s="1"/>
  <c r="E13" i="61" s="1"/>
  <c r="B7" i="51"/>
  <c r="B16" i="51" s="1"/>
  <c r="AD9" i="50"/>
  <c r="R105" i="50"/>
  <c r="Z105" i="50" s="1"/>
  <c r="AA105" i="50" s="1"/>
  <c r="AB105" i="50" s="1"/>
  <c r="AC105" i="50" s="1"/>
  <c r="AD105" i="50" s="1"/>
  <c r="E14" i="52" s="1"/>
  <c r="L86" i="50"/>
  <c r="K86" i="50"/>
  <c r="J86" i="50"/>
  <c r="I86" i="50"/>
  <c r="H86" i="50"/>
  <c r="G86" i="50"/>
  <c r="F86" i="50"/>
  <c r="E86" i="50"/>
  <c r="D86" i="50"/>
  <c r="C86" i="50"/>
  <c r="R67" i="50"/>
  <c r="AD67" i="50" s="1"/>
  <c r="R28" i="50"/>
  <c r="AD28" i="50" s="1"/>
  <c r="R9" i="50"/>
  <c r="AE9" i="50" s="1"/>
  <c r="R67" i="10"/>
  <c r="AD67" i="10" s="1"/>
  <c r="R105" i="10"/>
  <c r="E20" i="49"/>
  <c r="B20" i="49"/>
  <c r="E19" i="49"/>
  <c r="B19" i="49"/>
  <c r="E18" i="49"/>
  <c r="B18" i="49"/>
  <c r="E17" i="49"/>
  <c r="B17" i="49"/>
  <c r="E16" i="49"/>
  <c r="B16" i="49"/>
  <c r="E11" i="49"/>
  <c r="D11" i="49"/>
  <c r="C12" i="59" s="1"/>
  <c r="R12" i="59" s="1"/>
  <c r="E10" i="49"/>
  <c r="E9" i="49"/>
  <c r="F9" i="49" s="1"/>
  <c r="C11" i="61" s="1"/>
  <c r="E8" i="49"/>
  <c r="F8" i="49" s="1"/>
  <c r="C10" i="61" s="1"/>
  <c r="E7" i="49"/>
  <c r="F7" i="49" s="1"/>
  <c r="C13" i="61" s="1"/>
  <c r="R28" i="10"/>
  <c r="AD28" i="10" s="1"/>
  <c r="R9" i="10"/>
  <c r="AD9" i="10" s="1"/>
  <c r="H4" i="58" l="1"/>
  <c r="H6" i="58"/>
  <c r="I6" i="58" s="1"/>
  <c r="H7" i="58"/>
  <c r="J7" i="58" s="1"/>
  <c r="H8" i="58"/>
  <c r="J8" i="58" s="1"/>
  <c r="H10" i="58"/>
  <c r="H11" i="58"/>
  <c r="I11" i="58" s="1"/>
  <c r="H32" i="58"/>
  <c r="J32" i="58" s="1"/>
  <c r="H33" i="58"/>
  <c r="H36" i="58"/>
  <c r="N51" i="61"/>
  <c r="H8" i="51"/>
  <c r="E10" i="61" s="1"/>
  <c r="G13" i="52"/>
  <c r="D35" i="61" s="1"/>
  <c r="E18" i="56"/>
  <c r="E33" i="56"/>
  <c r="E17" i="55"/>
  <c r="L24" i="56"/>
  <c r="M5" i="57"/>
  <c r="G15" i="57" s="1"/>
  <c r="F17" i="61" s="1"/>
  <c r="R13" i="61"/>
  <c r="M6" i="55"/>
  <c r="M8" i="55"/>
  <c r="H9" i="51"/>
  <c r="E11" i="61" s="1"/>
  <c r="F17" i="56"/>
  <c r="H20" i="59" s="1"/>
  <c r="F33" i="56"/>
  <c r="H37" i="58"/>
  <c r="H38" i="58"/>
  <c r="H39" i="58"/>
  <c r="J39" i="58" s="1"/>
  <c r="M3" i="55"/>
  <c r="G16" i="55" s="1"/>
  <c r="I18" i="61" s="1"/>
  <c r="M5" i="55"/>
  <c r="M7" i="55"/>
  <c r="M24" i="55"/>
  <c r="K9" i="56"/>
  <c r="M27" i="56"/>
  <c r="M19" i="57"/>
  <c r="H14" i="58"/>
  <c r="M22" i="59"/>
  <c r="Q22" i="59"/>
  <c r="F16" i="56"/>
  <c r="F11" i="49"/>
  <c r="C12" i="61" s="1"/>
  <c r="R12" i="61" s="1"/>
  <c r="R86" i="50"/>
  <c r="AD86" i="50" s="1"/>
  <c r="AE86" i="50" s="1"/>
  <c r="AF86" i="50" s="1"/>
  <c r="AG86" i="50" s="1"/>
  <c r="AH86" i="50" s="1"/>
  <c r="AI86" i="50" s="1"/>
  <c r="D60" i="47"/>
  <c r="D14" i="52"/>
  <c r="D30" i="59" s="1"/>
  <c r="E16" i="55"/>
  <c r="M23" i="55"/>
  <c r="M3" i="56"/>
  <c r="M4" i="56"/>
  <c r="G17" i="56" s="1"/>
  <c r="H20" i="61" s="1"/>
  <c r="M5" i="56"/>
  <c r="M6" i="56"/>
  <c r="M7" i="56"/>
  <c r="M8" i="56"/>
  <c r="E16" i="56"/>
  <c r="E13" i="57"/>
  <c r="L19" i="57"/>
  <c r="F25" i="57" s="1"/>
  <c r="I37" i="59" s="1"/>
  <c r="H12" i="58"/>
  <c r="H13" i="58"/>
  <c r="I13" i="58" s="1"/>
  <c r="L42" i="59"/>
  <c r="P42" i="59"/>
  <c r="D11" i="52"/>
  <c r="E13" i="54"/>
  <c r="E14" i="54" s="1"/>
  <c r="D20" i="49"/>
  <c r="C32" i="59" s="1"/>
  <c r="R32" i="59" s="1"/>
  <c r="J22" i="59"/>
  <c r="N22" i="59"/>
  <c r="J34" i="59"/>
  <c r="J42" i="59" s="1"/>
  <c r="M42" i="59"/>
  <c r="Q42" i="59"/>
  <c r="O25" i="61"/>
  <c r="M51" i="61"/>
  <c r="Q51" i="61"/>
  <c r="O51" i="61"/>
  <c r="K9" i="55"/>
  <c r="E17" i="56"/>
  <c r="M24" i="56"/>
  <c r="G33" i="56" s="1"/>
  <c r="K6" i="57"/>
  <c r="H29" i="58"/>
  <c r="H31" i="58"/>
  <c r="J31" i="58" s="1"/>
  <c r="N42" i="59"/>
  <c r="L51" i="61"/>
  <c r="P51" i="61"/>
  <c r="G18" i="55"/>
  <c r="F18" i="61" s="1"/>
  <c r="L5" i="56"/>
  <c r="F18" i="56" s="1"/>
  <c r="H34" i="58"/>
  <c r="H35" i="58"/>
  <c r="J35" i="58" s="1"/>
  <c r="L22" i="59"/>
  <c r="P22" i="59"/>
  <c r="H26" i="63"/>
  <c r="D19" i="51"/>
  <c r="E11" i="51"/>
  <c r="D11" i="51"/>
  <c r="H10" i="51"/>
  <c r="E9" i="61" s="1"/>
  <c r="H19" i="51"/>
  <c r="E35" i="61" s="1"/>
  <c r="E7" i="54"/>
  <c r="C13" i="54"/>
  <c r="C14" i="54" s="1"/>
  <c r="D14" i="61"/>
  <c r="D25" i="61" s="1"/>
  <c r="D22" i="59"/>
  <c r="I7" i="58"/>
  <c r="J14" i="58"/>
  <c r="I14" i="58"/>
  <c r="J33" i="58"/>
  <c r="I33" i="58"/>
  <c r="I34" i="58"/>
  <c r="J34" i="58"/>
  <c r="I36" i="58"/>
  <c r="J36" i="58"/>
  <c r="H3" i="58"/>
  <c r="I8" i="58"/>
  <c r="H28" i="58"/>
  <c r="J4" i="58"/>
  <c r="I4" i="58"/>
  <c r="H9" i="58"/>
  <c r="J12" i="58"/>
  <c r="I12" i="58"/>
  <c r="J29" i="58"/>
  <c r="I29" i="58"/>
  <c r="J37" i="58"/>
  <c r="I37" i="58"/>
  <c r="J38" i="58"/>
  <c r="I38" i="58"/>
  <c r="I39" i="58"/>
  <c r="H5" i="58"/>
  <c r="J10" i="58"/>
  <c r="I10" i="58"/>
  <c r="H30" i="58"/>
  <c r="G13" i="57"/>
  <c r="L3" i="57"/>
  <c r="L4" i="57"/>
  <c r="F14" i="57" s="1"/>
  <c r="H17" i="59" s="1"/>
  <c r="L5" i="57"/>
  <c r="F15" i="57" s="1"/>
  <c r="E15" i="57"/>
  <c r="E16" i="57" s="1"/>
  <c r="M21" i="57"/>
  <c r="G27" i="57" s="1"/>
  <c r="G25" i="57"/>
  <c r="I43" i="61" s="1"/>
  <c r="E27" i="57"/>
  <c r="M4" i="57"/>
  <c r="G14" i="57" s="1"/>
  <c r="H17" i="61" s="1"/>
  <c r="L9" i="56"/>
  <c r="L3" i="55"/>
  <c r="L5" i="55"/>
  <c r="L7" i="55"/>
  <c r="L8" i="55"/>
  <c r="E18" i="55"/>
  <c r="L4" i="55"/>
  <c r="L6" i="55"/>
  <c r="M4" i="55"/>
  <c r="G17" i="55" s="1"/>
  <c r="H18" i="61" s="1"/>
  <c r="L24" i="55"/>
  <c r="G14" i="52"/>
  <c r="D36" i="61" s="1"/>
  <c r="G11" i="52"/>
  <c r="D39" i="61" s="1"/>
  <c r="F7" i="51"/>
  <c r="AE28" i="50"/>
  <c r="AF28" i="50" s="1"/>
  <c r="AG28" i="50" s="1"/>
  <c r="AH28" i="50" s="1"/>
  <c r="AI28" i="50" s="1"/>
  <c r="AF9" i="50"/>
  <c r="AG9" i="50" s="1"/>
  <c r="AH9" i="50" s="1"/>
  <c r="AI9" i="50" s="1"/>
  <c r="AE67" i="50"/>
  <c r="AD86" i="10"/>
  <c r="I32" i="58" l="1"/>
  <c r="D48" i="58"/>
  <c r="E23" i="58"/>
  <c r="H16" i="59" s="1"/>
  <c r="I35" i="58"/>
  <c r="J6" i="58"/>
  <c r="J13" i="58"/>
  <c r="E19" i="55"/>
  <c r="D23" i="58"/>
  <c r="F20" i="49"/>
  <c r="C38" i="61" s="1"/>
  <c r="R38" i="61" s="1"/>
  <c r="I31" i="58"/>
  <c r="J11" i="58"/>
  <c r="F17" i="55"/>
  <c r="H18" i="59" s="1"/>
  <c r="G18" i="56"/>
  <c r="G16" i="57"/>
  <c r="I17" i="61"/>
  <c r="R17" i="61" s="1"/>
  <c r="F11" i="51"/>
  <c r="E13" i="59"/>
  <c r="R13" i="59" s="1"/>
  <c r="E19" i="56"/>
  <c r="F19" i="56"/>
  <c r="I20" i="59"/>
  <c r="D26" i="55"/>
  <c r="K26" i="55" s="1"/>
  <c r="D17" i="51"/>
  <c r="E17" i="51" s="1"/>
  <c r="H17" i="51" s="1"/>
  <c r="D17" i="49"/>
  <c r="C30" i="59" s="1"/>
  <c r="D25" i="55"/>
  <c r="D16" i="51"/>
  <c r="E16" i="51" s="1"/>
  <c r="D16" i="49"/>
  <c r="C33" i="59" s="1"/>
  <c r="C22" i="55"/>
  <c r="D18" i="51"/>
  <c r="E18" i="51" s="1"/>
  <c r="D27" i="55"/>
  <c r="K27" i="55" s="1"/>
  <c r="D18" i="49"/>
  <c r="C31" i="59" s="1"/>
  <c r="D20" i="57"/>
  <c r="D26" i="56"/>
  <c r="K26" i="56" s="1"/>
  <c r="D25" i="56"/>
  <c r="D23" i="56"/>
  <c r="K23" i="56" s="1"/>
  <c r="D22" i="56"/>
  <c r="R18" i="61"/>
  <c r="M9" i="56"/>
  <c r="G16" i="56"/>
  <c r="H11" i="51"/>
  <c r="I5" i="58"/>
  <c r="E24" i="58" s="1"/>
  <c r="F16" i="59" s="1"/>
  <c r="D24" i="58"/>
  <c r="J5" i="58"/>
  <c r="F24" i="58" s="1"/>
  <c r="F48" i="58"/>
  <c r="I9" i="58"/>
  <c r="J9" i="58"/>
  <c r="H40" i="58"/>
  <c r="D47" i="58"/>
  <c r="J28" i="58"/>
  <c r="I28" i="58"/>
  <c r="D49" i="58"/>
  <c r="I30" i="58"/>
  <c r="E49" i="58" s="1"/>
  <c r="F36" i="59" s="1"/>
  <c r="J30" i="58"/>
  <c r="F49" i="58" s="1"/>
  <c r="F23" i="58"/>
  <c r="J3" i="58"/>
  <c r="H15" i="58"/>
  <c r="I3" i="58"/>
  <c r="D22" i="58"/>
  <c r="D25" i="58" s="1"/>
  <c r="E48" i="58"/>
  <c r="H36" i="59" s="1"/>
  <c r="F13" i="57"/>
  <c r="F16" i="57" s="1"/>
  <c r="L6" i="57"/>
  <c r="M6" i="57"/>
  <c r="F18" i="55"/>
  <c r="F18" i="59" s="1"/>
  <c r="G19" i="55"/>
  <c r="F16" i="55"/>
  <c r="I18" i="59" s="1"/>
  <c r="L9" i="55"/>
  <c r="M9" i="55"/>
  <c r="AF67" i="50"/>
  <c r="B39" i="42"/>
  <c r="C13" i="42"/>
  <c r="C11" i="42"/>
  <c r="C10" i="42"/>
  <c r="F17" i="51" l="1"/>
  <c r="E30" i="59" s="1"/>
  <c r="H21" i="59"/>
  <c r="H22" i="59" s="1"/>
  <c r="H42" i="61"/>
  <c r="F42" i="61"/>
  <c r="R18" i="59"/>
  <c r="C25" i="56"/>
  <c r="K25" i="56"/>
  <c r="H16" i="51"/>
  <c r="E39" i="61" s="1"/>
  <c r="F16" i="51"/>
  <c r="M26" i="55"/>
  <c r="G32" i="55" s="1"/>
  <c r="H44" i="61" s="1"/>
  <c r="L26" i="55"/>
  <c r="F32" i="55" s="1"/>
  <c r="H38" i="59" s="1"/>
  <c r="E32" i="55"/>
  <c r="E20" i="51"/>
  <c r="F16" i="61"/>
  <c r="H16" i="61"/>
  <c r="H21" i="61" s="1"/>
  <c r="H25" i="61" s="1"/>
  <c r="M26" i="56"/>
  <c r="L26" i="56"/>
  <c r="H18" i="51"/>
  <c r="E37" i="61" s="1"/>
  <c r="F18" i="51"/>
  <c r="E31" i="59" s="1"/>
  <c r="C25" i="55"/>
  <c r="K25" i="55"/>
  <c r="D20" i="51"/>
  <c r="D22" i="55"/>
  <c r="K22" i="55" s="1"/>
  <c r="C31" i="55"/>
  <c r="C19" i="57"/>
  <c r="C25" i="57" s="1"/>
  <c r="K20" i="57"/>
  <c r="G19" i="56"/>
  <c r="I20" i="61"/>
  <c r="I46" i="61"/>
  <c r="E32" i="56"/>
  <c r="M23" i="56"/>
  <c r="L23" i="56"/>
  <c r="C22" i="56"/>
  <c r="C31" i="56" s="1"/>
  <c r="K22" i="56"/>
  <c r="L27" i="55"/>
  <c r="F33" i="55" s="1"/>
  <c r="F38" i="59" s="1"/>
  <c r="M27" i="55"/>
  <c r="G33" i="55" s="1"/>
  <c r="F44" i="61" s="1"/>
  <c r="E33" i="55"/>
  <c r="E36" i="61"/>
  <c r="I15" i="58"/>
  <c r="E22" i="58"/>
  <c r="E25" i="58" s="1"/>
  <c r="J40" i="58"/>
  <c r="F47" i="58"/>
  <c r="D50" i="58"/>
  <c r="C14" i="60" s="1"/>
  <c r="J15" i="58"/>
  <c r="F22" i="58"/>
  <c r="I40" i="58"/>
  <c r="E47" i="58"/>
  <c r="F19" i="55"/>
  <c r="AG67" i="50"/>
  <c r="D65" i="47"/>
  <c r="H26" i="29"/>
  <c r="E40" i="61" l="1"/>
  <c r="E51" i="61" s="1"/>
  <c r="F32" i="56"/>
  <c r="H40" i="59" s="1"/>
  <c r="F50" i="58"/>
  <c r="E14" i="60" s="1"/>
  <c r="I42" i="61"/>
  <c r="R42" i="61" s="1"/>
  <c r="M22" i="55"/>
  <c r="L22" i="55"/>
  <c r="K28" i="55"/>
  <c r="E31" i="55"/>
  <c r="E34" i="55" s="1"/>
  <c r="C11" i="60" s="1"/>
  <c r="F25" i="58"/>
  <c r="I16" i="61"/>
  <c r="I25" i="61" s="1"/>
  <c r="E26" i="57"/>
  <c r="E28" i="57" s="1"/>
  <c r="C13" i="60" s="1"/>
  <c r="K22" i="57"/>
  <c r="M20" i="57"/>
  <c r="L20" i="57"/>
  <c r="R16" i="61"/>
  <c r="H20" i="51"/>
  <c r="G32" i="56"/>
  <c r="H46" i="61" s="1"/>
  <c r="L25" i="55"/>
  <c r="F31" i="55" s="1"/>
  <c r="M25" i="55"/>
  <c r="E33" i="59"/>
  <c r="F20" i="51"/>
  <c r="E50" i="58"/>
  <c r="D14" i="60" s="1"/>
  <c r="I36" i="59"/>
  <c r="E31" i="56"/>
  <c r="E34" i="56" s="1"/>
  <c r="C12" i="60" s="1"/>
  <c r="K28" i="56"/>
  <c r="M22" i="56"/>
  <c r="L22" i="56"/>
  <c r="M25" i="56"/>
  <c r="L25" i="56"/>
  <c r="AH67" i="50"/>
  <c r="D55" i="47"/>
  <c r="E19" i="5"/>
  <c r="F19" i="5" s="1"/>
  <c r="E29" i="42" s="1"/>
  <c r="E10" i="5"/>
  <c r="F10" i="5" s="1"/>
  <c r="R33" i="59" l="1"/>
  <c r="E34" i="59"/>
  <c r="E42" i="59" s="1"/>
  <c r="F26" i="57"/>
  <c r="L22" i="57"/>
  <c r="F31" i="56"/>
  <c r="L28" i="56"/>
  <c r="R36" i="59"/>
  <c r="G26" i="57"/>
  <c r="M22" i="57"/>
  <c r="M28" i="55"/>
  <c r="G31" i="55"/>
  <c r="M28" i="56"/>
  <c r="G31" i="56"/>
  <c r="G34" i="56" s="1"/>
  <c r="E12" i="60" s="1"/>
  <c r="I38" i="59"/>
  <c r="R38" i="59" s="1"/>
  <c r="F34" i="55"/>
  <c r="D11" i="60" s="1"/>
  <c r="C15" i="60"/>
  <c r="H24" i="29"/>
  <c r="L28" i="55"/>
  <c r="E9" i="42"/>
  <c r="E14" i="59"/>
  <c r="E22" i="59" s="1"/>
  <c r="AI67" i="50"/>
  <c r="D11" i="42"/>
  <c r="D10" i="42"/>
  <c r="F28" i="57" l="1"/>
  <c r="D13" i="60" s="1"/>
  <c r="H37" i="59"/>
  <c r="H43" i="61"/>
  <c r="G28" i="57"/>
  <c r="E13" i="60" s="1"/>
  <c r="F34" i="56"/>
  <c r="D12" i="60" s="1"/>
  <c r="D15" i="60" s="1"/>
  <c r="I40" i="59"/>
  <c r="I41" i="59" s="1"/>
  <c r="I42" i="59" s="1"/>
  <c r="D12" i="52"/>
  <c r="E12" i="52"/>
  <c r="I44" i="61"/>
  <c r="G34" i="55"/>
  <c r="E11" i="60" s="1"/>
  <c r="E11" i="48"/>
  <c r="F11" i="48"/>
  <c r="E15" i="60" l="1"/>
  <c r="D31" i="59"/>
  <c r="D34" i="59" s="1"/>
  <c r="D42" i="59" s="1"/>
  <c r="G12" i="52"/>
  <c r="D37" i="61" s="1"/>
  <c r="D40" i="61" s="1"/>
  <c r="D51" i="61" s="1"/>
  <c r="R43" i="61"/>
  <c r="H47" i="61"/>
  <c r="H51" i="61" s="1"/>
  <c r="R44" i="61"/>
  <c r="I47" i="61"/>
  <c r="I51" i="61" s="1"/>
  <c r="R37" i="59"/>
  <c r="H41" i="59"/>
  <c r="H42" i="59" s="1"/>
  <c r="D37" i="48"/>
  <c r="E10" i="48"/>
  <c r="E9" i="48"/>
  <c r="E8" i="48"/>
  <c r="D33" i="47" l="1"/>
  <c r="D20" i="47"/>
  <c r="D26" i="47" s="1"/>
  <c r="D13" i="47"/>
  <c r="D8" i="47"/>
  <c r="D9" i="47" s="1"/>
  <c r="K23" i="29" l="1"/>
  <c r="D39" i="47"/>
  <c r="H22" i="29"/>
  <c r="D11" i="47"/>
  <c r="D14" i="47" s="1"/>
  <c r="D36" i="47"/>
  <c r="K21" i="63" s="1"/>
  <c r="D23" i="47"/>
  <c r="J23" i="29" l="1"/>
  <c r="H21" i="29"/>
  <c r="H21" i="63"/>
  <c r="H27" i="63" s="1"/>
  <c r="D24" i="47"/>
  <c r="K22" i="29"/>
  <c r="D37" i="47"/>
  <c r="K21" i="29"/>
  <c r="E29" i="34"/>
  <c r="E30" i="34"/>
  <c r="E31" i="34"/>
  <c r="E32" i="34"/>
  <c r="E33" i="34"/>
  <c r="E34" i="34"/>
  <c r="E35" i="34"/>
  <c r="E36" i="34"/>
  <c r="E37" i="34"/>
  <c r="E38" i="34"/>
  <c r="E39" i="34"/>
  <c r="E28" i="34"/>
  <c r="E4" i="34"/>
  <c r="E5" i="34"/>
  <c r="E6" i="34"/>
  <c r="E7" i="34"/>
  <c r="E8" i="34"/>
  <c r="E9" i="34"/>
  <c r="E10" i="34"/>
  <c r="E11" i="34"/>
  <c r="E12" i="34"/>
  <c r="E13" i="34"/>
  <c r="E14" i="34"/>
  <c r="E3" i="34"/>
  <c r="J21" i="63" l="1"/>
  <c r="D40" i="47"/>
  <c r="J22" i="29"/>
  <c r="J21" i="29"/>
  <c r="D27" i="47"/>
  <c r="B43" i="44"/>
  <c r="B37" i="42"/>
  <c r="B13" i="35"/>
  <c r="I90" i="25" l="1"/>
  <c r="I78" i="25"/>
  <c r="I74" i="25"/>
  <c r="I12" i="25"/>
  <c r="K41" i="42" l="1"/>
  <c r="Q47" i="44" l="1"/>
  <c r="P47" i="44"/>
  <c r="O47" i="44"/>
  <c r="N47" i="44"/>
  <c r="M47" i="44"/>
  <c r="L47" i="44"/>
  <c r="K47" i="44"/>
  <c r="J47" i="44"/>
  <c r="G47" i="44"/>
  <c r="E47" i="44"/>
  <c r="D47" i="44"/>
  <c r="C47" i="44"/>
  <c r="Q40" i="44"/>
  <c r="Q51" i="44" s="1"/>
  <c r="P40" i="44"/>
  <c r="P51" i="44" s="1"/>
  <c r="O40" i="44"/>
  <c r="O51" i="44" s="1"/>
  <c r="N40" i="44"/>
  <c r="N51" i="44" s="1"/>
  <c r="M40" i="44"/>
  <c r="M51" i="44" s="1"/>
  <c r="L40" i="44"/>
  <c r="L51" i="44" s="1"/>
  <c r="J40" i="44"/>
  <c r="I40" i="44"/>
  <c r="H40" i="44"/>
  <c r="F40" i="44"/>
  <c r="D38" i="44"/>
  <c r="O68" i="44"/>
  <c r="N68" i="44"/>
  <c r="M68" i="44"/>
  <c r="L68" i="44"/>
  <c r="K68" i="44"/>
  <c r="J68" i="44"/>
  <c r="I68" i="44"/>
  <c r="H68" i="44"/>
  <c r="G68" i="44"/>
  <c r="F68" i="44"/>
  <c r="E68" i="44"/>
  <c r="D68" i="44"/>
  <c r="C68" i="44"/>
  <c r="Q21" i="44"/>
  <c r="P21" i="44"/>
  <c r="O21" i="44"/>
  <c r="N21" i="44"/>
  <c r="M21" i="44"/>
  <c r="L21" i="44"/>
  <c r="K21" i="44"/>
  <c r="J21" i="44"/>
  <c r="G21" i="44"/>
  <c r="E21" i="44"/>
  <c r="D21" i="44"/>
  <c r="C21" i="44"/>
  <c r="Q14" i="44"/>
  <c r="P14" i="44"/>
  <c r="O14" i="44"/>
  <c r="O25" i="44" s="1"/>
  <c r="N14" i="44"/>
  <c r="M14" i="44"/>
  <c r="M25" i="44" s="1"/>
  <c r="L14" i="44"/>
  <c r="J14" i="44"/>
  <c r="I14" i="44"/>
  <c r="H14" i="44"/>
  <c r="F14" i="44"/>
  <c r="J30" i="42"/>
  <c r="J31" i="42"/>
  <c r="J32" i="42"/>
  <c r="J33" i="42"/>
  <c r="J29" i="42"/>
  <c r="Q41" i="42"/>
  <c r="P41" i="42"/>
  <c r="O41" i="42"/>
  <c r="N41" i="42"/>
  <c r="M41" i="42"/>
  <c r="L41" i="42"/>
  <c r="J41" i="42"/>
  <c r="G41" i="42"/>
  <c r="E41" i="42"/>
  <c r="D41" i="42"/>
  <c r="C41" i="42"/>
  <c r="F36" i="42"/>
  <c r="Q34" i="42"/>
  <c r="P34" i="42"/>
  <c r="N34" i="42"/>
  <c r="M34" i="42"/>
  <c r="L34" i="42"/>
  <c r="I34" i="42"/>
  <c r="H34" i="42"/>
  <c r="F34" i="42"/>
  <c r="D9" i="42"/>
  <c r="D14" i="42" s="1"/>
  <c r="Q21" i="42"/>
  <c r="P21" i="42"/>
  <c r="O21" i="42"/>
  <c r="N21" i="42"/>
  <c r="M21" i="42"/>
  <c r="L21" i="42"/>
  <c r="K21" i="42"/>
  <c r="J21" i="42"/>
  <c r="G21" i="42"/>
  <c r="E21" i="42"/>
  <c r="D21" i="42"/>
  <c r="C21" i="42"/>
  <c r="Q14" i="42"/>
  <c r="P14" i="42"/>
  <c r="N14" i="42"/>
  <c r="M14" i="42"/>
  <c r="L14" i="42"/>
  <c r="J14" i="42"/>
  <c r="I14" i="42"/>
  <c r="H14" i="42"/>
  <c r="F14" i="42"/>
  <c r="J34" i="42" l="1"/>
  <c r="L42" i="42"/>
  <c r="N42" i="42"/>
  <c r="Q25" i="44"/>
  <c r="J25" i="44"/>
  <c r="J51" i="44"/>
  <c r="L25" i="44"/>
  <c r="N25" i="44"/>
  <c r="P25" i="44"/>
  <c r="P42" i="42"/>
  <c r="M42" i="42"/>
  <c r="Q42" i="42"/>
  <c r="J42" i="42"/>
  <c r="P22" i="42"/>
  <c r="N22" i="42"/>
  <c r="Q22" i="42"/>
  <c r="M22" i="42"/>
  <c r="L22" i="42"/>
  <c r="J22" i="42"/>
  <c r="D22" i="42"/>
  <c r="G19" i="5" l="1"/>
  <c r="G18" i="5"/>
  <c r="G17" i="5"/>
  <c r="G16" i="5"/>
  <c r="G8" i="5"/>
  <c r="G9" i="5"/>
  <c r="G10" i="5"/>
  <c r="G7" i="5"/>
  <c r="B10" i="5"/>
  <c r="B19" i="5" s="1"/>
  <c r="B9" i="5"/>
  <c r="B8" i="5"/>
  <c r="B7" i="5"/>
  <c r="D11" i="2"/>
  <c r="C12" i="42" s="1"/>
  <c r="R12" i="42" s="1"/>
  <c r="E17" i="2"/>
  <c r="E18" i="2"/>
  <c r="E19" i="2"/>
  <c r="E20" i="2"/>
  <c r="E16" i="2"/>
  <c r="E8" i="2"/>
  <c r="E9" i="2"/>
  <c r="E10" i="2"/>
  <c r="E11" i="2"/>
  <c r="E7" i="2"/>
  <c r="B20" i="2"/>
  <c r="B19" i="2"/>
  <c r="B18" i="2"/>
  <c r="B17" i="2"/>
  <c r="B16" i="2"/>
  <c r="C13" i="33"/>
  <c r="C16" i="26"/>
  <c r="J6" i="40"/>
  <c r="F6" i="40"/>
  <c r="H6" i="40" s="1"/>
  <c r="K6" i="40" s="1"/>
  <c r="E20" i="41"/>
  <c r="G20" i="41" s="1"/>
  <c r="I20" i="41" s="1"/>
  <c r="L20" i="41" s="1"/>
  <c r="E11" i="41"/>
  <c r="G11" i="41" s="1"/>
  <c r="I11" i="41" s="1"/>
  <c r="L11" i="41" s="1"/>
  <c r="D9" i="29" l="1"/>
  <c r="D9" i="63"/>
  <c r="D9" i="62"/>
  <c r="D22" i="29"/>
  <c r="D22" i="63"/>
  <c r="D24" i="62"/>
  <c r="D12" i="29"/>
  <c r="D10" i="29" s="1"/>
  <c r="D12" i="63"/>
  <c r="D10" i="63" s="1"/>
  <c r="D14" i="62"/>
  <c r="D10" i="62" s="1"/>
  <c r="N6" i="40"/>
  <c r="C12" i="40" s="1"/>
  <c r="C13" i="40" s="1"/>
  <c r="D12" i="40"/>
  <c r="D13" i="40" s="1"/>
  <c r="P11" i="41"/>
  <c r="C25" i="41" s="1"/>
  <c r="M11" i="41"/>
  <c r="D25" i="41" s="1"/>
  <c r="P20" i="41"/>
  <c r="C26" i="41" s="1"/>
  <c r="M20" i="41"/>
  <c r="D26" i="41" s="1"/>
  <c r="J18" i="29" l="1"/>
  <c r="J20" i="62"/>
  <c r="I18" i="29"/>
  <c r="I20" i="62"/>
  <c r="D27" i="41"/>
  <c r="C27" i="41"/>
  <c r="J5" i="31"/>
  <c r="J10" i="62" s="1"/>
  <c r="F14" i="37"/>
  <c r="F13" i="37"/>
  <c r="F12" i="37"/>
  <c r="F11" i="37"/>
  <c r="F6" i="37"/>
  <c r="G6" i="37" s="1"/>
  <c r="D11" i="44" s="1"/>
  <c r="F7" i="37"/>
  <c r="G7" i="37" s="1"/>
  <c r="D9" i="44" s="1"/>
  <c r="F8" i="37"/>
  <c r="G8" i="37" s="1"/>
  <c r="D10" i="44" s="1"/>
  <c r="F5" i="37"/>
  <c r="G5" i="37" s="1"/>
  <c r="D13" i="44" s="1"/>
  <c r="D36" i="34"/>
  <c r="G35" i="34"/>
  <c r="F35" i="34"/>
  <c r="D35" i="34"/>
  <c r="G34" i="34"/>
  <c r="F34" i="34"/>
  <c r="D34" i="34"/>
  <c r="D10" i="34"/>
  <c r="D11" i="34"/>
  <c r="D9" i="34"/>
  <c r="G10" i="34"/>
  <c r="F10" i="34"/>
  <c r="G9" i="34"/>
  <c r="F9" i="34"/>
  <c r="H9" i="34"/>
  <c r="E13" i="37"/>
  <c r="D13" i="37"/>
  <c r="D29" i="42" s="1"/>
  <c r="B13" i="14"/>
  <c r="D20" i="2" s="1"/>
  <c r="J9" i="31"/>
  <c r="J10" i="31"/>
  <c r="J4" i="31"/>
  <c r="J6" i="31"/>
  <c r="J7" i="31"/>
  <c r="J3" i="31"/>
  <c r="I4" i="31"/>
  <c r="I5" i="31"/>
  <c r="I6" i="31"/>
  <c r="I7" i="31"/>
  <c r="I8" i="31"/>
  <c r="I9" i="31"/>
  <c r="I10" i="31"/>
  <c r="I11" i="31"/>
  <c r="I3" i="31"/>
  <c r="H4" i="31"/>
  <c r="H5" i="31"/>
  <c r="H6" i="31"/>
  <c r="H7" i="31"/>
  <c r="H9" i="31"/>
  <c r="H10" i="31"/>
  <c r="H3" i="31"/>
  <c r="H14" i="31" s="1"/>
  <c r="N4" i="31" s="1"/>
  <c r="H10" i="34" l="1"/>
  <c r="B14" i="14"/>
  <c r="J16" i="29"/>
  <c r="J18" i="62"/>
  <c r="I16" i="29"/>
  <c r="I18" i="62"/>
  <c r="K35" i="61"/>
  <c r="J10" i="29"/>
  <c r="I10" i="29"/>
  <c r="I10" i="62"/>
  <c r="K9" i="42"/>
  <c r="K29" i="42" s="1"/>
  <c r="K29" i="59"/>
  <c r="C32" i="42"/>
  <c r="R32" i="42" s="1"/>
  <c r="F20" i="2"/>
  <c r="E13" i="14"/>
  <c r="C13" i="14"/>
  <c r="C14" i="14" s="1"/>
  <c r="G13" i="37"/>
  <c r="D35" i="44" s="1"/>
  <c r="H34" i="34"/>
  <c r="I34" i="34" s="1"/>
  <c r="H35" i="34"/>
  <c r="I35" i="34" s="1"/>
  <c r="H36" i="34"/>
  <c r="K35" i="44"/>
  <c r="K9" i="44"/>
  <c r="J36" i="34"/>
  <c r="I36" i="34"/>
  <c r="H11" i="34"/>
  <c r="J11" i="34" s="1"/>
  <c r="J9" i="34"/>
  <c r="I9" i="34"/>
  <c r="I10" i="34"/>
  <c r="J10" i="34"/>
  <c r="J34" i="34" l="1"/>
  <c r="C38" i="44"/>
  <c r="R38" i="44" s="1"/>
  <c r="E14" i="14"/>
  <c r="I11" i="34"/>
  <c r="J35" i="34"/>
  <c r="I13" i="12"/>
  <c r="E95" i="25"/>
  <c r="C27" i="48" s="1"/>
  <c r="G39" i="34" l="1"/>
  <c r="F39" i="34"/>
  <c r="G33" i="34"/>
  <c r="F33" i="34"/>
  <c r="G30" i="34"/>
  <c r="F30" i="34"/>
  <c r="G8" i="34"/>
  <c r="F8" i="34"/>
  <c r="G5" i="34"/>
  <c r="F5" i="34"/>
  <c r="D39" i="34"/>
  <c r="D38" i="34"/>
  <c r="D37" i="34"/>
  <c r="D33" i="34"/>
  <c r="D32" i="34"/>
  <c r="D31" i="34"/>
  <c r="D30" i="34"/>
  <c r="D29" i="34"/>
  <c r="D28" i="34"/>
  <c r="D14" i="34"/>
  <c r="D13" i="34"/>
  <c r="D12" i="34"/>
  <c r="D8" i="34"/>
  <c r="D7" i="34"/>
  <c r="D6" i="34"/>
  <c r="D5" i="34"/>
  <c r="D4" i="34"/>
  <c r="D3" i="34"/>
  <c r="F28" i="34"/>
  <c r="G28" i="34"/>
  <c r="F29" i="34"/>
  <c r="G29" i="34"/>
  <c r="F31" i="34"/>
  <c r="G31" i="34"/>
  <c r="F32" i="34"/>
  <c r="G32" i="34"/>
  <c r="F37" i="34"/>
  <c r="G37" i="34"/>
  <c r="F38" i="34"/>
  <c r="G38" i="34"/>
  <c r="G13" i="34"/>
  <c r="F13" i="34"/>
  <c r="G7" i="34"/>
  <c r="F7" i="34"/>
  <c r="G4" i="34"/>
  <c r="F4" i="34"/>
  <c r="G12" i="34"/>
  <c r="F12" i="34"/>
  <c r="G6" i="34"/>
  <c r="F6" i="34"/>
  <c r="G3" i="34"/>
  <c r="F3" i="34"/>
  <c r="B24" i="33"/>
  <c r="B19" i="33"/>
  <c r="B25" i="32"/>
  <c r="B22" i="32"/>
  <c r="K21" i="33"/>
  <c r="E27" i="33" s="1"/>
  <c r="J21" i="33"/>
  <c r="J20" i="33"/>
  <c r="J19" i="33"/>
  <c r="J5" i="33"/>
  <c r="K5" i="33"/>
  <c r="E15" i="33" s="1"/>
  <c r="J4" i="33"/>
  <c r="K4" i="33"/>
  <c r="E14" i="33" s="1"/>
  <c r="J3" i="33"/>
  <c r="K3" i="33"/>
  <c r="C16" i="32"/>
  <c r="J27" i="32"/>
  <c r="J26" i="32"/>
  <c r="J25" i="32"/>
  <c r="K27" i="32"/>
  <c r="K24" i="32"/>
  <c r="L24" i="32" s="1"/>
  <c r="J24" i="32"/>
  <c r="J23" i="32"/>
  <c r="J22" i="32"/>
  <c r="J8" i="32"/>
  <c r="K8" i="32"/>
  <c r="J7" i="32"/>
  <c r="K7" i="32"/>
  <c r="J6" i="32"/>
  <c r="K6" i="32"/>
  <c r="K5" i="32"/>
  <c r="J5" i="32"/>
  <c r="J4" i="32"/>
  <c r="K4" i="32"/>
  <c r="J3" i="32"/>
  <c r="K3" i="32"/>
  <c r="K8" i="26"/>
  <c r="K7" i="26"/>
  <c r="J27" i="26"/>
  <c r="J26" i="26"/>
  <c r="J25" i="26"/>
  <c r="K24" i="26"/>
  <c r="L24" i="26" s="1"/>
  <c r="J24" i="26"/>
  <c r="J23" i="26"/>
  <c r="J22" i="26"/>
  <c r="K5" i="26"/>
  <c r="K3" i="26"/>
  <c r="J8" i="26"/>
  <c r="J5" i="26"/>
  <c r="J7" i="26"/>
  <c r="J6" i="26"/>
  <c r="J4" i="26"/>
  <c r="J3" i="26"/>
  <c r="K6" i="26"/>
  <c r="K4" i="26"/>
  <c r="D40" i="34" l="1"/>
  <c r="E33" i="32"/>
  <c r="H28" i="34"/>
  <c r="J28" i="34" s="1"/>
  <c r="K23" i="26"/>
  <c r="L23" i="26" s="1"/>
  <c r="M5" i="32"/>
  <c r="M21" i="33"/>
  <c r="G27" i="33" s="1"/>
  <c r="H32" i="34"/>
  <c r="J32" i="34" s="1"/>
  <c r="K6" i="33"/>
  <c r="H29" i="34"/>
  <c r="H31" i="34"/>
  <c r="J31" i="34" s="1"/>
  <c r="H38" i="34"/>
  <c r="J38" i="34" s="1"/>
  <c r="H30" i="34"/>
  <c r="J30" i="34" s="1"/>
  <c r="H39" i="34"/>
  <c r="I39" i="34" s="1"/>
  <c r="H37" i="34"/>
  <c r="I37" i="34" s="1"/>
  <c r="H33" i="34"/>
  <c r="J33" i="34" s="1"/>
  <c r="I31" i="34"/>
  <c r="H12" i="34"/>
  <c r="I12" i="34" s="1"/>
  <c r="H13" i="34"/>
  <c r="J13" i="34" s="1"/>
  <c r="H8" i="34"/>
  <c r="I8" i="34" s="1"/>
  <c r="H5" i="34"/>
  <c r="H6" i="34"/>
  <c r="J6" i="34" s="1"/>
  <c r="D15" i="34"/>
  <c r="H7" i="34"/>
  <c r="J7" i="34" s="1"/>
  <c r="H14" i="34"/>
  <c r="J14" i="34" s="1"/>
  <c r="H4" i="34"/>
  <c r="H3" i="34"/>
  <c r="K19" i="33"/>
  <c r="L19" i="33" s="1"/>
  <c r="E13" i="33"/>
  <c r="L21" i="33"/>
  <c r="F27" i="33" s="1"/>
  <c r="F43" i="44" s="1"/>
  <c r="L3" i="33"/>
  <c r="I17" i="59" s="1"/>
  <c r="M3" i="33"/>
  <c r="G13" i="33" s="1"/>
  <c r="I17" i="44" s="1"/>
  <c r="M4" i="33"/>
  <c r="L4" i="33"/>
  <c r="L5" i="33"/>
  <c r="F15" i="33" s="1"/>
  <c r="M5" i="33"/>
  <c r="G15" i="33" s="1"/>
  <c r="F17" i="44" s="1"/>
  <c r="L5" i="32"/>
  <c r="L6" i="32"/>
  <c r="M6" i="32"/>
  <c r="M7" i="32"/>
  <c r="L7" i="32"/>
  <c r="L8" i="32"/>
  <c r="E18" i="32"/>
  <c r="M8" i="32"/>
  <c r="M27" i="32"/>
  <c r="L27" i="32"/>
  <c r="F33" i="32" s="1"/>
  <c r="K9" i="32"/>
  <c r="L3" i="32"/>
  <c r="E16" i="32"/>
  <c r="M3" i="32"/>
  <c r="M4" i="32"/>
  <c r="E17" i="32"/>
  <c r="L4" i="32"/>
  <c r="M24" i="32"/>
  <c r="E17" i="26"/>
  <c r="E18" i="26"/>
  <c r="K22" i="26"/>
  <c r="L22" i="26" s="1"/>
  <c r="M24" i="26"/>
  <c r="M3" i="26"/>
  <c r="E16" i="26"/>
  <c r="L5" i="26"/>
  <c r="M6" i="26"/>
  <c r="L6" i="26"/>
  <c r="L8" i="26"/>
  <c r="M8" i="26"/>
  <c r="L4" i="26"/>
  <c r="M4" i="26"/>
  <c r="M7" i="26"/>
  <c r="L7" i="26"/>
  <c r="L3" i="26"/>
  <c r="M5" i="26"/>
  <c r="K9" i="26"/>
  <c r="D6" i="14"/>
  <c r="E6" i="14" s="1"/>
  <c r="J9" i="29" s="1"/>
  <c r="C6" i="14"/>
  <c r="C7" i="14" s="1"/>
  <c r="B7" i="14"/>
  <c r="P3" i="30"/>
  <c r="K5" i="30"/>
  <c r="L5" i="30" s="1"/>
  <c r="K14" i="30"/>
  <c r="L14" i="30" s="1"/>
  <c r="K15" i="30"/>
  <c r="L15" i="30" s="1"/>
  <c r="K16" i="30"/>
  <c r="L16" i="30" s="1"/>
  <c r="K17" i="30"/>
  <c r="L17" i="30" s="1"/>
  <c r="K18" i="30"/>
  <c r="L18" i="30" s="1"/>
  <c r="K19" i="30"/>
  <c r="L19" i="30" s="1"/>
  <c r="K20" i="30"/>
  <c r="L20" i="30" s="1"/>
  <c r="K21" i="30"/>
  <c r="L21" i="30" s="1"/>
  <c r="K13" i="30"/>
  <c r="L13" i="30" s="1"/>
  <c r="K12" i="30"/>
  <c r="L12" i="30" s="1"/>
  <c r="K11" i="30"/>
  <c r="L11" i="30" s="1"/>
  <c r="K7" i="30"/>
  <c r="L7" i="30" s="1"/>
  <c r="K8" i="30"/>
  <c r="K9" i="30"/>
  <c r="L9" i="30" s="1"/>
  <c r="K10" i="30"/>
  <c r="K6" i="30"/>
  <c r="L6" i="30" s="1"/>
  <c r="K4" i="30"/>
  <c r="L4" i="30" s="1"/>
  <c r="I5" i="30"/>
  <c r="I6" i="30"/>
  <c r="J6" i="30" s="1"/>
  <c r="I7" i="30"/>
  <c r="J7" i="30" s="1"/>
  <c r="I8" i="30"/>
  <c r="I9" i="30"/>
  <c r="J9" i="30" s="1"/>
  <c r="I10" i="30"/>
  <c r="I11" i="30"/>
  <c r="J11" i="30" s="1"/>
  <c r="I12" i="30"/>
  <c r="J12" i="30" s="1"/>
  <c r="I13" i="30"/>
  <c r="J13" i="30" s="1"/>
  <c r="I14" i="30"/>
  <c r="J14" i="30" s="1"/>
  <c r="I15" i="30"/>
  <c r="J15" i="30" s="1"/>
  <c r="I16" i="30"/>
  <c r="J16" i="30" s="1"/>
  <c r="I17" i="30"/>
  <c r="J17" i="30" s="1"/>
  <c r="I18" i="30"/>
  <c r="J18" i="30" s="1"/>
  <c r="I19" i="30"/>
  <c r="J19" i="30" s="1"/>
  <c r="I20" i="30"/>
  <c r="J20" i="30" s="1"/>
  <c r="I21" i="30"/>
  <c r="J21" i="30" s="1"/>
  <c r="I4" i="30"/>
  <c r="J4" i="30" s="1"/>
  <c r="H5" i="30"/>
  <c r="H6" i="30"/>
  <c r="H9" i="30"/>
  <c r="H11" i="30"/>
  <c r="H12" i="30"/>
  <c r="H13" i="30"/>
  <c r="H14" i="30"/>
  <c r="H15" i="30"/>
  <c r="H16" i="30"/>
  <c r="H17" i="30"/>
  <c r="H18" i="30"/>
  <c r="H19" i="30"/>
  <c r="H20" i="30"/>
  <c r="H21" i="30"/>
  <c r="H4" i="30"/>
  <c r="H27" i="29"/>
  <c r="I28" i="34" l="1"/>
  <c r="P4" i="30"/>
  <c r="M23" i="26"/>
  <c r="I32" i="34"/>
  <c r="I38" i="34"/>
  <c r="G10" i="42"/>
  <c r="G30" i="42" s="1"/>
  <c r="G10" i="59"/>
  <c r="J13" i="29"/>
  <c r="J15" i="62"/>
  <c r="F40" i="42"/>
  <c r="F40" i="59"/>
  <c r="I12" i="29"/>
  <c r="K12" i="29" s="1"/>
  <c r="K14" i="62" s="1"/>
  <c r="I14" i="62"/>
  <c r="I12" i="63"/>
  <c r="I27" i="63" s="1"/>
  <c r="I14" i="29"/>
  <c r="K14" i="29" s="1"/>
  <c r="I14" i="63"/>
  <c r="K14" i="63" s="1"/>
  <c r="K27" i="63" s="1"/>
  <c r="J14" i="29"/>
  <c r="J14" i="63"/>
  <c r="J16" i="62" s="1"/>
  <c r="G36" i="61"/>
  <c r="G10" i="61"/>
  <c r="R10" i="61" s="1"/>
  <c r="J12" i="29"/>
  <c r="J14" i="62"/>
  <c r="N14" i="62" s="1"/>
  <c r="J12" i="63"/>
  <c r="I13" i="29"/>
  <c r="K13" i="29" s="1"/>
  <c r="I15" i="62"/>
  <c r="K15" i="62" s="1"/>
  <c r="R17" i="59"/>
  <c r="P5" i="30"/>
  <c r="F17" i="32"/>
  <c r="H20" i="42" s="1"/>
  <c r="G18" i="26"/>
  <c r="F18" i="44" s="1"/>
  <c r="F18" i="32"/>
  <c r="G17" i="32"/>
  <c r="H20" i="44" s="1"/>
  <c r="P7" i="30"/>
  <c r="E47" i="34"/>
  <c r="I36" i="42" s="1"/>
  <c r="G18" i="32"/>
  <c r="F20" i="61" s="1"/>
  <c r="P6" i="30"/>
  <c r="G36" i="44"/>
  <c r="G10" i="44"/>
  <c r="I29" i="34"/>
  <c r="D48" i="34"/>
  <c r="F20" i="44"/>
  <c r="E7" i="14"/>
  <c r="G17" i="26"/>
  <c r="H18" i="44" s="1"/>
  <c r="G16" i="26"/>
  <c r="I18" i="44" s="1"/>
  <c r="G16" i="32"/>
  <c r="D22" i="34"/>
  <c r="I30" i="34"/>
  <c r="D49" i="34"/>
  <c r="D47" i="34"/>
  <c r="M19" i="33"/>
  <c r="F13" i="33"/>
  <c r="I17" i="42"/>
  <c r="G14" i="33"/>
  <c r="H17" i="44" s="1"/>
  <c r="R17" i="44" s="1"/>
  <c r="M6" i="33"/>
  <c r="F14" i="33"/>
  <c r="H17" i="42" s="1"/>
  <c r="L6" i="33"/>
  <c r="J5" i="34"/>
  <c r="D24" i="34"/>
  <c r="D23" i="34"/>
  <c r="J39" i="34"/>
  <c r="F49" i="34" s="1"/>
  <c r="I33" i="34"/>
  <c r="J29" i="34"/>
  <c r="F48" i="34" s="1"/>
  <c r="I13" i="34"/>
  <c r="J37" i="34"/>
  <c r="J12" i="34"/>
  <c r="I14" i="34"/>
  <c r="I5" i="34"/>
  <c r="J4" i="34"/>
  <c r="F23" i="34" s="1"/>
  <c r="H40" i="34"/>
  <c r="J8" i="34"/>
  <c r="I6" i="34"/>
  <c r="I4" i="34"/>
  <c r="I7" i="34"/>
  <c r="J3" i="34"/>
  <c r="H15" i="34"/>
  <c r="I3" i="34"/>
  <c r="F25" i="33"/>
  <c r="I37" i="42" s="1"/>
  <c r="G25" i="33"/>
  <c r="I43" i="44" s="1"/>
  <c r="E25" i="33"/>
  <c r="E16" i="33"/>
  <c r="E19" i="32"/>
  <c r="G33" i="32"/>
  <c r="M9" i="32"/>
  <c r="F16" i="32"/>
  <c r="L9" i="32"/>
  <c r="F17" i="26"/>
  <c r="H18" i="42" s="1"/>
  <c r="E19" i="26"/>
  <c r="M22" i="26"/>
  <c r="L9" i="26"/>
  <c r="F16" i="26"/>
  <c r="I18" i="42" s="1"/>
  <c r="M9" i="26"/>
  <c r="F18" i="26"/>
  <c r="F18" i="42" s="1"/>
  <c r="N6" i="31"/>
  <c r="N7" i="31"/>
  <c r="K95" i="25"/>
  <c r="D10" i="48" s="1"/>
  <c r="E48" i="34" l="1"/>
  <c r="H36" i="42" s="1"/>
  <c r="C4" i="35"/>
  <c r="C4" i="60"/>
  <c r="D25" i="34"/>
  <c r="R20" i="61"/>
  <c r="R21" i="61" s="1"/>
  <c r="F21" i="61"/>
  <c r="F25" i="61" s="1"/>
  <c r="F20" i="42"/>
  <c r="F20" i="59"/>
  <c r="I16" i="62"/>
  <c r="F46" i="44"/>
  <c r="F46" i="61"/>
  <c r="C5" i="35"/>
  <c r="C5" i="60"/>
  <c r="K16" i="62"/>
  <c r="R40" i="59"/>
  <c r="R41" i="59" s="1"/>
  <c r="F41" i="59"/>
  <c r="F42" i="59" s="1"/>
  <c r="G30" i="59"/>
  <c r="R30" i="59" s="1"/>
  <c r="R10" i="59"/>
  <c r="C6" i="35"/>
  <c r="C6" i="60"/>
  <c r="J40" i="34"/>
  <c r="P8" i="30"/>
  <c r="K15" i="29"/>
  <c r="K15" i="63"/>
  <c r="K17" i="62"/>
  <c r="D10" i="49"/>
  <c r="C9" i="59" s="1"/>
  <c r="D19" i="49"/>
  <c r="C29" i="59" s="1"/>
  <c r="D19" i="2"/>
  <c r="C29" i="42" s="1"/>
  <c r="C35" i="61"/>
  <c r="R35" i="61" s="1"/>
  <c r="D50" i="34"/>
  <c r="R17" i="42"/>
  <c r="H10" i="48"/>
  <c r="G10" i="48"/>
  <c r="F22" i="34"/>
  <c r="I16" i="44" s="1"/>
  <c r="G16" i="33"/>
  <c r="G19" i="26"/>
  <c r="F19" i="32"/>
  <c r="I20" i="42"/>
  <c r="E22" i="34"/>
  <c r="E23" i="34"/>
  <c r="H16" i="42" s="1"/>
  <c r="R18" i="44"/>
  <c r="R36" i="42"/>
  <c r="C9" i="44"/>
  <c r="C35" i="44"/>
  <c r="N8" i="31"/>
  <c r="H42" i="44"/>
  <c r="F42" i="44"/>
  <c r="I46" i="44"/>
  <c r="I20" i="44"/>
  <c r="R20" i="44" s="1"/>
  <c r="F47" i="34"/>
  <c r="I42" i="44" s="1"/>
  <c r="E24" i="34"/>
  <c r="E49" i="34"/>
  <c r="F16" i="42" s="1"/>
  <c r="C12" i="44"/>
  <c r="G19" i="32"/>
  <c r="R18" i="42"/>
  <c r="H21" i="42"/>
  <c r="H22" i="42" s="1"/>
  <c r="D10" i="2"/>
  <c r="C14" i="35"/>
  <c r="F24" i="34"/>
  <c r="N5" i="31"/>
  <c r="J15" i="34"/>
  <c r="I40" i="34"/>
  <c r="I15" i="34"/>
  <c r="F16" i="33"/>
  <c r="F19" i="26"/>
  <c r="E9" i="5"/>
  <c r="R20" i="42" l="1"/>
  <c r="E50" i="34"/>
  <c r="D14" i="35" s="1"/>
  <c r="E4" i="35"/>
  <c r="E4" i="60"/>
  <c r="J22" i="62"/>
  <c r="J21" i="62"/>
  <c r="I16" i="42"/>
  <c r="R16" i="42" s="1"/>
  <c r="R21" i="42" s="1"/>
  <c r="I20" i="63" s="1"/>
  <c r="I16" i="59"/>
  <c r="E6" i="35"/>
  <c r="E6" i="60"/>
  <c r="R46" i="61"/>
  <c r="R47" i="61" s="1"/>
  <c r="F47" i="61"/>
  <c r="F51" i="61" s="1"/>
  <c r="R20" i="59"/>
  <c r="F21" i="59"/>
  <c r="F22" i="59" s="1"/>
  <c r="C7" i="35"/>
  <c r="C8" i="35" s="1"/>
  <c r="C7" i="60"/>
  <c r="D4" i="35"/>
  <c r="D4" i="60"/>
  <c r="E5" i="35"/>
  <c r="E5" i="60"/>
  <c r="J15" i="29"/>
  <c r="I15" i="29" s="1"/>
  <c r="J15" i="63"/>
  <c r="I15" i="63" s="1"/>
  <c r="J17" i="62"/>
  <c r="I17" i="62" s="1"/>
  <c r="C8" i="60"/>
  <c r="D6" i="35"/>
  <c r="D6" i="60"/>
  <c r="D5" i="35"/>
  <c r="D5" i="60"/>
  <c r="F19" i="49"/>
  <c r="F10" i="49"/>
  <c r="R9" i="59"/>
  <c r="C14" i="59"/>
  <c r="C22" i="59" s="1"/>
  <c r="K11" i="29"/>
  <c r="K13" i="62"/>
  <c r="J11" i="29"/>
  <c r="I11" i="29" s="1"/>
  <c r="J13" i="62"/>
  <c r="R29" i="42"/>
  <c r="F9" i="5"/>
  <c r="E11" i="42" s="1"/>
  <c r="D12" i="2"/>
  <c r="C9" i="42"/>
  <c r="I21" i="42"/>
  <c r="I22" i="42" s="1"/>
  <c r="F21" i="42"/>
  <c r="F22" i="42" s="1"/>
  <c r="R42" i="44"/>
  <c r="F50" i="34"/>
  <c r="E14" i="35" s="1"/>
  <c r="F25" i="34"/>
  <c r="H16" i="44"/>
  <c r="H21" i="44" s="1"/>
  <c r="H25" i="44" s="1"/>
  <c r="F16" i="44"/>
  <c r="R12" i="44"/>
  <c r="I21" i="44"/>
  <c r="I25" i="44" s="1"/>
  <c r="F19" i="2"/>
  <c r="E25" i="34"/>
  <c r="D12" i="65" l="1"/>
  <c r="E12" i="65" s="1"/>
  <c r="I13" i="62"/>
  <c r="D22" i="28"/>
  <c r="C22" i="28" s="1"/>
  <c r="R16" i="59"/>
  <c r="R21" i="59" s="1"/>
  <c r="I21" i="59"/>
  <c r="I22" i="59" s="1"/>
  <c r="E8" i="60"/>
  <c r="E17" i="60" s="1"/>
  <c r="E7" i="35"/>
  <c r="E8" i="35" s="1"/>
  <c r="E7" i="60"/>
  <c r="D7" i="35"/>
  <c r="D8" i="35" s="1"/>
  <c r="D7" i="60"/>
  <c r="D8" i="60"/>
  <c r="F12" i="49"/>
  <c r="C9" i="61"/>
  <c r="C14" i="61" s="1"/>
  <c r="C25" i="61" s="1"/>
  <c r="C34" i="59"/>
  <c r="C42" i="59" s="1"/>
  <c r="R29" i="59"/>
  <c r="C14" i="42"/>
  <c r="C22" i="42" s="1"/>
  <c r="R9" i="42"/>
  <c r="I19" i="29"/>
  <c r="I20" i="29"/>
  <c r="R16" i="44"/>
  <c r="R21" i="44" s="1"/>
  <c r="J20" i="63" s="1"/>
  <c r="F21" i="44"/>
  <c r="F25" i="44" s="1"/>
  <c r="H19" i="5"/>
  <c r="E35" i="44" s="1"/>
  <c r="D19" i="5"/>
  <c r="F22" i="28" l="1"/>
  <c r="E22" i="28"/>
  <c r="I21" i="62"/>
  <c r="I22" i="62"/>
  <c r="U29" i="59"/>
  <c r="J19" i="29"/>
  <c r="J20" i="29"/>
  <c r="R35" i="44"/>
  <c r="H13" i="12"/>
  <c r="E14" i="12"/>
  <c r="I9" i="12"/>
  <c r="I7" i="12"/>
  <c r="I6" i="12"/>
  <c r="I5" i="12"/>
  <c r="D13" i="65" l="1"/>
  <c r="E13" i="65" s="1"/>
  <c r="I14" i="12"/>
  <c r="F15" i="5" l="1"/>
  <c r="B18" i="5"/>
  <c r="B17" i="5"/>
  <c r="B16" i="5"/>
  <c r="E8" i="5"/>
  <c r="F8" i="5" s="1"/>
  <c r="E10" i="42" s="1"/>
  <c r="E7" i="5"/>
  <c r="F7" i="5" s="1"/>
  <c r="E13" i="42" s="1"/>
  <c r="R13" i="42" s="1"/>
  <c r="E14" i="42" l="1"/>
  <c r="E22" i="42" s="1"/>
  <c r="R10" i="42"/>
  <c r="F11" i="2"/>
  <c r="F10" i="2" l="1"/>
  <c r="F95" i="25"/>
  <c r="G95" i="25"/>
  <c r="H95" i="25"/>
  <c r="D8" i="48" s="1"/>
  <c r="G8" i="48" s="1"/>
  <c r="I95" i="25"/>
  <c r="D9" i="48" s="1"/>
  <c r="G9" i="48" s="1"/>
  <c r="J95" i="25"/>
  <c r="G11" i="48" s="1"/>
  <c r="H11" i="48" s="1"/>
  <c r="L95" i="25"/>
  <c r="D12" i="48" s="1"/>
  <c r="G12" i="48" s="1"/>
  <c r="H8" i="48" l="1"/>
  <c r="G13" i="48"/>
  <c r="C21" i="48" s="1"/>
  <c r="H12" i="48"/>
  <c r="H9" i="48"/>
  <c r="Z105" i="10"/>
  <c r="C17" i="48" l="1"/>
  <c r="C18" i="48"/>
  <c r="C20" i="48"/>
  <c r="C26" i="48"/>
  <c r="C29" i="48" s="1"/>
  <c r="D33" i="48" s="1"/>
  <c r="C19" i="48"/>
  <c r="H13" i="48"/>
  <c r="C22" i="48" l="1"/>
  <c r="D36" i="48"/>
  <c r="D35" i="48"/>
  <c r="D32" i="48"/>
  <c r="AE28" i="10"/>
  <c r="AF28" i="10" s="1"/>
  <c r="AG28" i="10" s="1"/>
  <c r="AH28" i="10" s="1"/>
  <c r="AI28" i="10" s="1"/>
  <c r="AE9" i="10"/>
  <c r="AF9" i="10" s="1"/>
  <c r="D38" i="48" l="1"/>
  <c r="C34" i="48" s="1"/>
  <c r="C86" i="10"/>
  <c r="D86" i="10"/>
  <c r="E86" i="10"/>
  <c r="F86" i="10"/>
  <c r="G86" i="10"/>
  <c r="H86" i="10"/>
  <c r="I86" i="10"/>
  <c r="J86" i="10"/>
  <c r="K86" i="10"/>
  <c r="L86" i="10"/>
  <c r="R86" i="10" s="1"/>
  <c r="C32" i="48" l="1"/>
  <c r="C7" i="53" s="1"/>
  <c r="C14" i="53"/>
  <c r="C35" i="48"/>
  <c r="C14" i="12"/>
  <c r="C37" i="48"/>
  <c r="C33" i="48"/>
  <c r="C36" i="48"/>
  <c r="C7" i="12" l="1"/>
  <c r="D62" i="47"/>
  <c r="C16" i="53"/>
  <c r="I27" i="62" s="1"/>
  <c r="C15" i="53"/>
  <c r="C8" i="12"/>
  <c r="C8" i="53"/>
  <c r="C10" i="12"/>
  <c r="C10" i="53"/>
  <c r="D62" i="64"/>
  <c r="G11" i="53"/>
  <c r="C6" i="12"/>
  <c r="C6" i="53"/>
  <c r="C5" i="12"/>
  <c r="C5" i="53"/>
  <c r="C9" i="12"/>
  <c r="C9" i="53"/>
  <c r="F7" i="53"/>
  <c r="G7" i="53" s="1"/>
  <c r="F16" i="53"/>
  <c r="C16" i="12"/>
  <c r="C38" i="48"/>
  <c r="G16" i="53" l="1"/>
  <c r="F14" i="53"/>
  <c r="G14" i="53" s="1"/>
  <c r="F5" i="53"/>
  <c r="G5" i="53" s="1"/>
  <c r="C11" i="53"/>
  <c r="D63" i="64"/>
  <c r="D47" i="64"/>
  <c r="D48" i="64" s="1"/>
  <c r="D49" i="64" s="1"/>
  <c r="I26" i="62" s="1"/>
  <c r="F18" i="53"/>
  <c r="G18" i="53" s="1"/>
  <c r="F9" i="53"/>
  <c r="G9" i="53" s="1"/>
  <c r="F15" i="53"/>
  <c r="G15" i="53" s="1"/>
  <c r="F6" i="53"/>
  <c r="G6" i="53" s="1"/>
  <c r="F17" i="53"/>
  <c r="G17" i="53" s="1"/>
  <c r="F8" i="53"/>
  <c r="G8" i="53" s="1"/>
  <c r="F19" i="53"/>
  <c r="G19" i="53" s="1"/>
  <c r="H19" i="53" s="1"/>
  <c r="O31" i="59" s="1"/>
  <c r="O34" i="59" s="1"/>
  <c r="O42" i="59" s="1"/>
  <c r="D7" i="28" s="1"/>
  <c r="F10" i="53"/>
  <c r="G10" i="53" s="1"/>
  <c r="H10" i="53" s="1"/>
  <c r="H7" i="53"/>
  <c r="J7" i="53"/>
  <c r="K11" i="61" s="1"/>
  <c r="J27" i="62"/>
  <c r="D63" i="47"/>
  <c r="D66" i="47" s="1"/>
  <c r="J26" i="63" s="1"/>
  <c r="J27" i="63" s="1"/>
  <c r="D47" i="47"/>
  <c r="D48" i="47" s="1"/>
  <c r="D49" i="47" s="1"/>
  <c r="I25" i="29"/>
  <c r="J25" i="29" l="1"/>
  <c r="D66" i="64"/>
  <c r="J28" i="62" s="1"/>
  <c r="H8" i="53"/>
  <c r="J8" i="53"/>
  <c r="J9" i="53"/>
  <c r="G11" i="61" s="1"/>
  <c r="H9" i="53"/>
  <c r="H17" i="53"/>
  <c r="J17" i="53"/>
  <c r="H18" i="53"/>
  <c r="G31" i="59" s="1"/>
  <c r="J18" i="53"/>
  <c r="G37" i="61" s="1"/>
  <c r="G40" i="61" s="1"/>
  <c r="G51" i="61" s="1"/>
  <c r="J5" i="53"/>
  <c r="H5" i="53"/>
  <c r="H6" i="53"/>
  <c r="J6" i="53"/>
  <c r="D53" i="64"/>
  <c r="J26" i="62" s="1"/>
  <c r="D51" i="64"/>
  <c r="D52" i="64" s="1"/>
  <c r="K26" i="62" s="1"/>
  <c r="J14" i="53"/>
  <c r="H14" i="53"/>
  <c r="G20" i="53"/>
  <c r="J15" i="53"/>
  <c r="H15" i="53"/>
  <c r="H16" i="53"/>
  <c r="K31" i="59" s="1"/>
  <c r="K34" i="59" s="1"/>
  <c r="K42" i="59" s="1"/>
  <c r="J16" i="53"/>
  <c r="K37" i="61" s="1"/>
  <c r="K40" i="61" s="1"/>
  <c r="K51" i="61" s="1"/>
  <c r="D53" i="47"/>
  <c r="D51" i="47"/>
  <c r="D52" i="47" s="1"/>
  <c r="I24" i="29"/>
  <c r="I29" i="29" s="1"/>
  <c r="J26" i="29"/>
  <c r="D69" i="47"/>
  <c r="I18" i="12"/>
  <c r="I17" i="12"/>
  <c r="I16" i="12"/>
  <c r="I15" i="12"/>
  <c r="D23" i="28" l="1"/>
  <c r="C23" i="28" s="1"/>
  <c r="F23" i="28" s="1"/>
  <c r="C14" i="28"/>
  <c r="D6" i="65"/>
  <c r="E6" i="65" s="1"/>
  <c r="C12" i="28"/>
  <c r="D21" i="28" s="1"/>
  <c r="C21" i="28" s="1"/>
  <c r="J11" i="53"/>
  <c r="D69" i="64"/>
  <c r="C13" i="28"/>
  <c r="K24" i="29"/>
  <c r="J24" i="29"/>
  <c r="G34" i="59"/>
  <c r="G42" i="59" s="1"/>
  <c r="R31" i="59"/>
  <c r="R34" i="59" s="1"/>
  <c r="R42" i="59" s="1"/>
  <c r="D6" i="28" s="1"/>
  <c r="E6" i="28" s="1"/>
  <c r="H20" i="53"/>
  <c r="J20" i="53"/>
  <c r="H11" i="53"/>
  <c r="F7" i="2"/>
  <c r="F8" i="2"/>
  <c r="C10" i="44" s="1"/>
  <c r="F9" i="2"/>
  <c r="C11" i="44" s="1"/>
  <c r="E23" i="28" l="1"/>
  <c r="F21" i="28"/>
  <c r="E21" i="28"/>
  <c r="E7" i="28"/>
  <c r="D14" i="44"/>
  <c r="D25" i="44" s="1"/>
  <c r="C13" i="44"/>
  <c r="F12" i="2"/>
  <c r="E17" i="12"/>
  <c r="E15" i="12"/>
  <c r="C14" i="44" l="1"/>
  <c r="C25" i="44" s="1"/>
  <c r="AA105" i="10" l="1"/>
  <c r="AB105" i="10" s="1"/>
  <c r="AC105" i="10" s="1"/>
  <c r="AD105" i="10" s="1"/>
  <c r="D14" i="37" s="1"/>
  <c r="AE67" i="10"/>
  <c r="AE86" i="10" s="1"/>
  <c r="AG9" i="10"/>
  <c r="AH9" i="10" s="1"/>
  <c r="AI9" i="10" s="1"/>
  <c r="D16" i="2" l="1"/>
  <c r="D17" i="2"/>
  <c r="D18" i="2"/>
  <c r="F17" i="49"/>
  <c r="C36" i="61" s="1"/>
  <c r="R36" i="61" s="1"/>
  <c r="F18" i="49"/>
  <c r="C37" i="61" s="1"/>
  <c r="R37" i="61" s="1"/>
  <c r="D23" i="32"/>
  <c r="K23" i="32" s="1"/>
  <c r="D26" i="26"/>
  <c r="K26" i="26" s="1"/>
  <c r="D26" i="32"/>
  <c r="K26" i="32" s="1"/>
  <c r="D20" i="33"/>
  <c r="D22" i="32"/>
  <c r="D25" i="26"/>
  <c r="D27" i="26"/>
  <c r="K27" i="26" s="1"/>
  <c r="D25" i="32"/>
  <c r="D17" i="5"/>
  <c r="E17" i="5" s="1"/>
  <c r="F17" i="5" s="1"/>
  <c r="E30" i="42" s="1"/>
  <c r="D18" i="5"/>
  <c r="E18" i="5" s="1"/>
  <c r="F18" i="5" s="1"/>
  <c r="E31" i="42" s="1"/>
  <c r="C22" i="26"/>
  <c r="D11" i="37"/>
  <c r="G11" i="37" s="1"/>
  <c r="D39" i="44" s="1"/>
  <c r="E14" i="37"/>
  <c r="D16" i="5"/>
  <c r="AF67" i="10"/>
  <c r="AG67" i="10" l="1"/>
  <c r="AF86" i="10"/>
  <c r="D21" i="49"/>
  <c r="F16" i="49"/>
  <c r="C25" i="32"/>
  <c r="K25" i="32"/>
  <c r="C19" i="33"/>
  <c r="C25" i="33" s="1"/>
  <c r="K20" i="33"/>
  <c r="C31" i="42"/>
  <c r="C30" i="42"/>
  <c r="E16" i="5"/>
  <c r="F16" i="5" s="1"/>
  <c r="E33" i="42" s="1"/>
  <c r="E34" i="42" s="1"/>
  <c r="E42" i="42" s="1"/>
  <c r="D20" i="5"/>
  <c r="E33" i="26"/>
  <c r="M27" i="26"/>
  <c r="G33" i="26" s="1"/>
  <c r="F44" i="44" s="1"/>
  <c r="L27" i="26"/>
  <c r="F33" i="26" s="1"/>
  <c r="F38" i="42" s="1"/>
  <c r="L26" i="32"/>
  <c r="M26" i="32"/>
  <c r="C33" i="42"/>
  <c r="D21" i="2"/>
  <c r="D30" i="42"/>
  <c r="G14" i="37"/>
  <c r="D36" i="44" s="1"/>
  <c r="C25" i="26"/>
  <c r="C31" i="26" s="1"/>
  <c r="K25" i="26"/>
  <c r="M26" i="26"/>
  <c r="G32" i="26" s="1"/>
  <c r="H44" i="44" s="1"/>
  <c r="E32" i="26"/>
  <c r="L26" i="26"/>
  <c r="F32" i="26" s="1"/>
  <c r="H38" i="42" s="1"/>
  <c r="C22" i="32"/>
  <c r="C31" i="32" s="1"/>
  <c r="K22" i="32"/>
  <c r="M23" i="32"/>
  <c r="L23" i="32"/>
  <c r="E32" i="32"/>
  <c r="F21" i="49" l="1"/>
  <c r="C39" i="61"/>
  <c r="F32" i="32"/>
  <c r="H40" i="42" s="1"/>
  <c r="AH67" i="10"/>
  <c r="AG86" i="10"/>
  <c r="G32" i="32"/>
  <c r="H46" i="44" s="1"/>
  <c r="R46" i="44" s="1"/>
  <c r="R33" i="42"/>
  <c r="E20" i="5"/>
  <c r="E31" i="26"/>
  <c r="E34" i="26" s="1"/>
  <c r="C11" i="35" s="1"/>
  <c r="M25" i="26"/>
  <c r="L25" i="26"/>
  <c r="K28" i="26"/>
  <c r="F47" i="44"/>
  <c r="F51" i="44" s="1"/>
  <c r="E26" i="33"/>
  <c r="E28" i="33" s="1"/>
  <c r="C13" i="35" s="1"/>
  <c r="M20" i="33"/>
  <c r="L20" i="33"/>
  <c r="K22" i="33"/>
  <c r="M22" i="32"/>
  <c r="L22" i="32"/>
  <c r="K28" i="32"/>
  <c r="E31" i="32"/>
  <c r="E34" i="32" s="1"/>
  <c r="C12" i="35" s="1"/>
  <c r="C34" i="42"/>
  <c r="C42" i="42" s="1"/>
  <c r="R30" i="42"/>
  <c r="L25" i="32"/>
  <c r="M25" i="32"/>
  <c r="F41" i="42"/>
  <c r="F42" i="42" s="1"/>
  <c r="F20" i="5"/>
  <c r="R39" i="61" l="1"/>
  <c r="R40" i="61" s="1"/>
  <c r="C40" i="61"/>
  <c r="C51" i="61" s="1"/>
  <c r="G31" i="32"/>
  <c r="G34" i="32" s="1"/>
  <c r="E12" i="35" s="1"/>
  <c r="AI67" i="10"/>
  <c r="AH86" i="10"/>
  <c r="F31" i="32"/>
  <c r="F34" i="32" s="1"/>
  <c r="D12" i="35" s="1"/>
  <c r="G26" i="33"/>
  <c r="M22" i="33"/>
  <c r="L28" i="26"/>
  <c r="F31" i="26"/>
  <c r="L28" i="32"/>
  <c r="G31" i="26"/>
  <c r="M28" i="26"/>
  <c r="M28" i="32"/>
  <c r="F26" i="33"/>
  <c r="L22" i="33"/>
  <c r="C15" i="35"/>
  <c r="R51" i="61" l="1"/>
  <c r="D5" i="28" s="1"/>
  <c r="E5" i="28" s="1"/>
  <c r="D5" i="65"/>
  <c r="AI86" i="10"/>
  <c r="D12" i="37"/>
  <c r="E12" i="37"/>
  <c r="I40" i="42"/>
  <c r="R40" i="42" s="1"/>
  <c r="H37" i="42"/>
  <c r="F28" i="33"/>
  <c r="D13" i="35" s="1"/>
  <c r="I38" i="42"/>
  <c r="F34" i="26"/>
  <c r="D11" i="35" s="1"/>
  <c r="G34" i="26"/>
  <c r="E11" i="35" s="1"/>
  <c r="I44" i="44"/>
  <c r="H43" i="44"/>
  <c r="G28" i="33"/>
  <c r="E13" i="35" s="1"/>
  <c r="H8" i="5"/>
  <c r="E10" i="44" s="1"/>
  <c r="D31" i="42" l="1"/>
  <c r="D34" i="42" s="1"/>
  <c r="D42" i="42" s="1"/>
  <c r="G12" i="37"/>
  <c r="D37" i="44" s="1"/>
  <c r="D40" i="44" s="1"/>
  <c r="D51" i="44" s="1"/>
  <c r="D15" i="35"/>
  <c r="I41" i="42"/>
  <c r="I42" i="42" s="1"/>
  <c r="R38" i="42"/>
  <c r="R43" i="44"/>
  <c r="H47" i="44"/>
  <c r="H51" i="44" s="1"/>
  <c r="I47" i="44"/>
  <c r="I51" i="44" s="1"/>
  <c r="R44" i="44"/>
  <c r="E15" i="35"/>
  <c r="R37" i="42"/>
  <c r="H41" i="42"/>
  <c r="H42" i="42" s="1"/>
  <c r="R10" i="44"/>
  <c r="H9" i="5"/>
  <c r="E11" i="44" s="1"/>
  <c r="H7" i="5"/>
  <c r="R41" i="42" l="1"/>
  <c r="U29" i="42" s="1"/>
  <c r="R47" i="44"/>
  <c r="E13" i="44"/>
  <c r="R13" i="44" s="1"/>
  <c r="F16" i="2"/>
  <c r="F18" i="2"/>
  <c r="C37" i="44" s="1"/>
  <c r="F17" i="2"/>
  <c r="C36" i="44" s="1"/>
  <c r="C39" i="44" l="1"/>
  <c r="C40" i="44" s="1"/>
  <c r="C51" i="44" s="1"/>
  <c r="F21" i="2"/>
  <c r="H17" i="5"/>
  <c r="E36" i="44" s="1"/>
  <c r="R36" i="44" l="1"/>
  <c r="H18" i="5"/>
  <c r="E37" i="44" s="1"/>
  <c r="H16" i="5"/>
  <c r="E39" i="44" s="1"/>
  <c r="R39" i="44" s="1"/>
  <c r="E40" i="44" l="1"/>
  <c r="E51" i="44" s="1"/>
  <c r="H20" i="5"/>
  <c r="C15" i="12" l="1"/>
  <c r="G11" i="12"/>
  <c r="F15" i="12" l="1"/>
  <c r="G15" i="12" s="1"/>
  <c r="H15" i="12" s="1"/>
  <c r="F6" i="12"/>
  <c r="G6" i="12" s="1"/>
  <c r="H6" i="12" s="1"/>
  <c r="F19" i="12"/>
  <c r="G19" i="12" s="1"/>
  <c r="F10" i="12"/>
  <c r="G10" i="12" s="1"/>
  <c r="C11" i="12"/>
  <c r="F8" i="12"/>
  <c r="G8" i="12" s="1"/>
  <c r="H8" i="12" s="1"/>
  <c r="F17" i="12"/>
  <c r="G17" i="12" s="1"/>
  <c r="H17" i="12" s="1"/>
  <c r="F7" i="12"/>
  <c r="G7" i="12" s="1"/>
  <c r="H7" i="12" s="1"/>
  <c r="K11" i="59" s="1"/>
  <c r="K14" i="59" s="1"/>
  <c r="K22" i="59" s="1"/>
  <c r="F16" i="12"/>
  <c r="G16" i="12" s="1"/>
  <c r="H16" i="12" s="1"/>
  <c r="F5" i="12"/>
  <c r="G5" i="12" s="1"/>
  <c r="H5" i="12" s="1"/>
  <c r="F14" i="12"/>
  <c r="G14" i="12" s="1"/>
  <c r="H14" i="12" s="1"/>
  <c r="H10" i="12" l="1"/>
  <c r="H19" i="12"/>
  <c r="O31" i="42" s="1"/>
  <c r="O34" i="42" s="1"/>
  <c r="O42" i="42" s="1"/>
  <c r="J17" i="12"/>
  <c r="J14" i="12"/>
  <c r="K31" i="42"/>
  <c r="K34" i="42" s="1"/>
  <c r="K42" i="42" s="1"/>
  <c r="J16" i="12"/>
  <c r="K37" i="44" s="1"/>
  <c r="K40" i="44" s="1"/>
  <c r="K51" i="44" s="1"/>
  <c r="F18" i="12"/>
  <c r="G18" i="12" s="1"/>
  <c r="F9" i="12"/>
  <c r="G9" i="12" s="1"/>
  <c r="H9" i="12" s="1"/>
  <c r="G11" i="59" s="1"/>
  <c r="J6" i="12"/>
  <c r="J5" i="12"/>
  <c r="K11" i="42"/>
  <c r="K14" i="42" s="1"/>
  <c r="K22" i="42" s="1"/>
  <c r="J7" i="12"/>
  <c r="J8" i="12"/>
  <c r="J15" i="12"/>
  <c r="K11" i="44" l="1"/>
  <c r="K14" i="44" s="1"/>
  <c r="K25" i="44" s="1"/>
  <c r="K14" i="61"/>
  <c r="K25" i="61" s="1"/>
  <c r="G14" i="59"/>
  <c r="G22" i="59" s="1"/>
  <c r="O11" i="42"/>
  <c r="O14" i="42" s="1"/>
  <c r="O22" i="42" s="1"/>
  <c r="O11" i="59"/>
  <c r="O14" i="59" s="1"/>
  <c r="O22" i="59" s="1"/>
  <c r="H11" i="12"/>
  <c r="O44" i="42"/>
  <c r="G20" i="12"/>
  <c r="H18" i="12"/>
  <c r="H20" i="12" s="1"/>
  <c r="J18" i="12"/>
  <c r="G37" i="44" s="1"/>
  <c r="G11" i="42"/>
  <c r="J9" i="12"/>
  <c r="R11" i="59" l="1"/>
  <c r="R14" i="59" s="1"/>
  <c r="O44" i="59"/>
  <c r="C7" i="28"/>
  <c r="D14" i="28" s="1"/>
  <c r="G11" i="44"/>
  <c r="G31" i="42"/>
  <c r="G34" i="42" s="1"/>
  <c r="G42" i="42" s="1"/>
  <c r="J11" i="12"/>
  <c r="J20" i="12"/>
  <c r="G14" i="42"/>
  <c r="G22" i="42" s="1"/>
  <c r="R11" i="42"/>
  <c r="G40" i="44"/>
  <c r="G51" i="44" s="1"/>
  <c r="R37" i="44"/>
  <c r="R40" i="44" s="1"/>
  <c r="R51" i="44" s="1"/>
  <c r="G14" i="44"/>
  <c r="G25" i="44" s="1"/>
  <c r="R11" i="44"/>
  <c r="R22" i="59" l="1"/>
  <c r="C6" i="28" s="1"/>
  <c r="R11" i="61"/>
  <c r="G14" i="61"/>
  <c r="G25" i="61" s="1"/>
  <c r="R31" i="42"/>
  <c r="R34" i="42" s="1"/>
  <c r="R42" i="42" s="1"/>
  <c r="D8" i="28" s="1"/>
  <c r="R14" i="42"/>
  <c r="R22" i="42" s="1"/>
  <c r="J27" i="29"/>
  <c r="F6" i="28" l="1"/>
  <c r="D13" i="28"/>
  <c r="C8" i="28"/>
  <c r="K27" i="29"/>
  <c r="I27" i="29"/>
  <c r="F7" i="28" l="1"/>
  <c r="E8" i="28" l="1"/>
  <c r="F8" i="28" s="1"/>
  <c r="F11" i="5"/>
  <c r="D10" i="5"/>
  <c r="D11" i="5" s="1"/>
  <c r="E11" i="5" l="1"/>
  <c r="H10" i="5"/>
  <c r="E14" i="61" l="1"/>
  <c r="E25" i="61" s="1"/>
  <c r="R9" i="61"/>
  <c r="R14" i="61" s="1"/>
  <c r="H11" i="5"/>
  <c r="E9" i="44"/>
  <c r="R25" i="61" l="1"/>
  <c r="C5" i="28" s="1"/>
  <c r="C5" i="65"/>
  <c r="E5" i="65" s="1"/>
  <c r="T34" i="61"/>
  <c r="F5" i="28"/>
  <c r="D12" i="28"/>
  <c r="E14" i="44"/>
  <c r="E25" i="44" s="1"/>
  <c r="R9" i="44"/>
  <c r="R14" i="44" s="1"/>
  <c r="R25" i="44" s="1"/>
</calcChain>
</file>

<file path=xl/sharedStrings.xml><?xml version="1.0" encoding="utf-8"?>
<sst xmlns="http://schemas.openxmlformats.org/spreadsheetml/2006/main" count="2722" uniqueCount="643">
  <si>
    <t>Nazwa projektu</t>
  </si>
  <si>
    <t>Opis Projektu</t>
  </si>
  <si>
    <t>gaz</t>
  </si>
  <si>
    <t>SUMA</t>
  </si>
  <si>
    <t>Grupa taryfowa</t>
  </si>
  <si>
    <t>Liczba odbiorców</t>
  </si>
  <si>
    <t>Zużycie MWh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</si>
  <si>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/MWh]</t>
    </r>
  </si>
  <si>
    <r>
      <t>Emisja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</si>
  <si>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Rok</t>
  </si>
  <si>
    <t>Energia elektryczna - zużycie i emisja</t>
  </si>
  <si>
    <t>Gaz - zużycie i emisja</t>
  </si>
  <si>
    <t>zużycie gazu [GJ]</t>
  </si>
  <si>
    <t>wskaźnik emisji [Mg CO2/GJ]</t>
  </si>
  <si>
    <t>Emisja CO2 [Mg CO2]</t>
  </si>
  <si>
    <r>
      <t>zużycie gazu [m</t>
    </r>
    <r>
      <rPr>
        <b/>
        <vertAlign val="superscript"/>
        <sz val="11"/>
        <color rgb="FF000000"/>
        <rFont val="Calibri"/>
        <family val="2"/>
        <charset val="238"/>
      </rPr>
      <t>3</t>
    </r>
    <r>
      <rPr>
        <b/>
        <sz val="11"/>
        <color rgb="FF000000"/>
        <rFont val="Calibri"/>
        <family val="2"/>
        <charset val="238"/>
      </rPr>
      <t>]</t>
    </r>
  </si>
  <si>
    <t>Gaz - zużycie i emisja - wykresy</t>
  </si>
  <si>
    <t>Motocykle</t>
  </si>
  <si>
    <t>Samochody ciężarowe</t>
  </si>
  <si>
    <t>Benzyna</t>
  </si>
  <si>
    <t>Autobusy</t>
  </si>
  <si>
    <t>Ciągniki samochodowe</t>
  </si>
  <si>
    <t>Charakterystyka gminy</t>
  </si>
  <si>
    <t>Liczba mieszkańców</t>
  </si>
  <si>
    <t>Liczba nowych mieszkań</t>
  </si>
  <si>
    <r>
      <t>Ogólna powierzchnia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</si>
  <si>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Zarejestrowane podmioty gospodarcze</t>
  </si>
  <si>
    <t>średnioroczny trend zmian</t>
  </si>
  <si>
    <t>Prognoza liczby mieszkańców</t>
  </si>
  <si>
    <t>Nowe mieszkania</t>
  </si>
  <si>
    <r>
      <t>Prognoza ogólnej powierzchni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</si>
  <si>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średnia powierzchnia</t>
  </si>
  <si>
    <t>Prognoza zarejestrowanych podmiotów gospodarczych</t>
  </si>
  <si>
    <t>liczba podmiotów</t>
  </si>
  <si>
    <t>Liczba mieszkań</t>
  </si>
  <si>
    <t>Prognoza liczby mieszkań</t>
  </si>
  <si>
    <t>Horyzont czasowy</t>
  </si>
  <si>
    <t>Mieszkania</t>
  </si>
  <si>
    <t>Mieszkańcy</t>
  </si>
  <si>
    <t>Powierzchnia mieszkań</t>
  </si>
  <si>
    <t>Powierzchnia   mieszkań</t>
  </si>
  <si>
    <t>Gaz</t>
  </si>
  <si>
    <t>Ciepło sieciowe i paliwa opałowe - zużycie i emisja</t>
  </si>
  <si>
    <t>%</t>
  </si>
  <si>
    <t>olej opałowy</t>
  </si>
  <si>
    <t>Struktura wykorzystania paliw</t>
  </si>
  <si>
    <t>Zapotrzebowanie na energię cieplną</t>
  </si>
  <si>
    <t>Ogólne zapotrzebowanie na energię w roku 2020 r. [GJ]</t>
  </si>
  <si>
    <t>Zużycie ciepła [GJ]</t>
  </si>
  <si>
    <t>2020 - Prognoza</t>
  </si>
  <si>
    <t>en. elektryczna</t>
  </si>
  <si>
    <t>Potrzeby cieplne zaspokajane z danego rodzaju paliwa [GJ]</t>
  </si>
  <si>
    <t>Zużycie energii [MWh]</t>
  </si>
  <si>
    <t>Podmiot</t>
  </si>
  <si>
    <t>Zużycie energii elektrycznej [MWh]</t>
  </si>
  <si>
    <t>Źródło ciepła</t>
  </si>
  <si>
    <t>Wskaźniki</t>
  </si>
  <si>
    <t>Energia elek.</t>
  </si>
  <si>
    <t>Węgiel</t>
  </si>
  <si>
    <t>Olej opałowy</t>
  </si>
  <si>
    <t>Ciepło sieciowe</t>
  </si>
  <si>
    <t>Źrodło</t>
  </si>
  <si>
    <t>energia elektryczna</t>
  </si>
  <si>
    <t>rok 2020 - prognoza</t>
  </si>
  <si>
    <t>Samochody osobowe</t>
  </si>
  <si>
    <t>Samochody dostawcze</t>
  </si>
  <si>
    <t>Samochody ciężarowe z naczepą</t>
  </si>
  <si>
    <t>Jednostka</t>
  </si>
  <si>
    <r>
      <t>Mg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/GJ</t>
    </r>
  </si>
  <si>
    <r>
      <t>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/km</t>
    </r>
  </si>
  <si>
    <t>Zestawienie wskaźników</t>
  </si>
  <si>
    <t>Inwentaryzacja emisji</t>
  </si>
  <si>
    <r>
      <t>Średnia powierzchnia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</si>
  <si>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Informacje o wielkości zanieczyszczeń w ….</t>
  </si>
  <si>
    <t>Referencyjny wskaźnik jednostkowej emisyjności dwutlenku węgla przy produkcji energii elektrycznej do wyznaczania poziomu bazowego dla projektów JI realizowanych w Polsce” (KOBiZE)</t>
  </si>
  <si>
    <r>
      <t>Mg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/MWh</t>
    </r>
  </si>
  <si>
    <t>Wartości opałowe (WO) i wskaźniki emisji CO2 (WE) do raportowania w ramach Wspólnotowego Systemu Handlu Uprawnieniami do Emisji (KOBiZE)</t>
  </si>
  <si>
    <t>Załącznik nr 2 - Metodyka - do Regulaminu I konkursu GIS "GAZELA – NISKOEMISYJNY TRANSPORT MIEJSKI" (NFOŚiGW)</t>
  </si>
  <si>
    <t>GJ/m3</t>
  </si>
  <si>
    <t>Gaz ciekły (LPG)</t>
  </si>
  <si>
    <t>GJ/kg</t>
  </si>
  <si>
    <t>Olej napędowy</t>
  </si>
  <si>
    <t>Charakterystyka beznyny, PKN ORLEN, http://www.orlen.pl/PL/DlaBiznesu/Paliwa/Benzyny/Strony/BenzynaBezolowiowa95.aspx</t>
  </si>
  <si>
    <t>Charakterystyka oleju napędowego, PKN ORLEN, http://www.orlen.pl/PL/DlaBiznesu/Paliwa/OlejeNapedowe/Strony/OlejNapedowyEkodieselUltra.aspx</t>
  </si>
  <si>
    <t>Rozporządzenie Ministra Finansów z dnia 22 kwietnia 2004 r. w sprawie obniżenia stawek podatku akcyzowego</t>
  </si>
  <si>
    <t>t/m3</t>
  </si>
  <si>
    <t>Ogólne zapotrzebowanie na energię w roku 2014 r. [GJ]</t>
  </si>
  <si>
    <t>Wskaźnik na rok 2014</t>
  </si>
  <si>
    <r>
      <t>Prognoza średniej powierzchni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</si>
  <si>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rok 2014</t>
  </si>
  <si>
    <t>-</t>
  </si>
  <si>
    <t>węgiel</t>
  </si>
  <si>
    <t>biomasa</t>
  </si>
  <si>
    <t>jednorodzinny</t>
  </si>
  <si>
    <t>kolektory słoneczne</t>
  </si>
  <si>
    <t>wielorodzinny</t>
  </si>
  <si>
    <t>fotowoltaika</t>
  </si>
  <si>
    <t>Wiek budynku</t>
  </si>
  <si>
    <t>TAK</t>
  </si>
  <si>
    <t>NIE</t>
  </si>
  <si>
    <t>Plan montażu OZE</t>
  </si>
  <si>
    <t>nie rozważano</t>
  </si>
  <si>
    <t>Mieszkańcy - ankietyzacja</t>
  </si>
  <si>
    <t>Lp.</t>
  </si>
  <si>
    <t>Dane adresowe</t>
  </si>
  <si>
    <t>Typ obiektu</t>
  </si>
  <si>
    <t>Dane obiektu</t>
  </si>
  <si>
    <t>Stosowane paliwo do ogrzewania, ilość zużytego paliwa</t>
  </si>
  <si>
    <t>Wartość opałowa</t>
  </si>
  <si>
    <t xml:space="preserve">Plan modernizacji systemu grzewczego </t>
  </si>
  <si>
    <t>Ogrzewana powierzchnia budynku [m2]</t>
  </si>
  <si>
    <t>Liczba mieszkanców</t>
  </si>
  <si>
    <t>Węgiel [t]</t>
  </si>
  <si>
    <t>Energia elektryczna</t>
  </si>
  <si>
    <t>Biomasa [m3]</t>
  </si>
  <si>
    <t>x</t>
  </si>
  <si>
    <t>kolektory słoneczne, turbina wiatrowa</t>
  </si>
  <si>
    <t>Kosmonautów 34</t>
  </si>
  <si>
    <t>Prognoza na rok 2020</t>
  </si>
  <si>
    <t>Sanatorium uzdrowiskowe "Wrzos" ul. Leśna 2, 87 - 720 Ciechocinek</t>
  </si>
  <si>
    <t>22 Wojskowy Szpital Uzdrowiskowo - Rehabilitacyjny SP ZOZ ul. Wojska Polskiego 5, 87 - 720 Ciechocinek</t>
  </si>
  <si>
    <t>Sanatorium uzdrowiskowe "Promień" ul. Nieszawska 22, 87 - 720 Ciechocinek</t>
  </si>
  <si>
    <t>Marii Konopnickiej 21</t>
  </si>
  <si>
    <t>Norwida 47</t>
  </si>
  <si>
    <t>Wołuszewska 42</t>
  </si>
  <si>
    <t>kolektory słoneczne, fotowoltaika</t>
  </si>
  <si>
    <t>Sanatorium Uzdrowiskowe "Krystynka" Sp. z o.o. ul. Polna 16, 87-720 Ciechocinek</t>
  </si>
  <si>
    <t>Komunalne Przedsiębiorstwo Użyteczności Publicznej "EKOCIECH" Sp. z o.o. ul. Wojska Polskiego 33, 87 - 720 Ciechocinek</t>
  </si>
  <si>
    <t>Południowa 5</t>
  </si>
  <si>
    <t>Norwida 27</t>
  </si>
  <si>
    <t>Sportowa 22</t>
  </si>
  <si>
    <t>fotowoltaika, pompa ciepła</t>
  </si>
  <si>
    <t>Traugutta</t>
  </si>
  <si>
    <t>Słońsk Górny 62/4</t>
  </si>
  <si>
    <t>pompa ciepła</t>
  </si>
  <si>
    <t>Związkowców 33</t>
  </si>
  <si>
    <t>Krótka 2</t>
  </si>
  <si>
    <t>Traygutta 28a/8</t>
  </si>
  <si>
    <t>Dembickiego 7</t>
  </si>
  <si>
    <t>kolektory słoneczne, popma ciepła</t>
  </si>
  <si>
    <t>inny</t>
  </si>
  <si>
    <t>Wojska Polskiego 12</t>
  </si>
  <si>
    <t>Wołuszewska 96</t>
  </si>
  <si>
    <t>Traugutta 28</t>
  </si>
  <si>
    <t>Bema</t>
  </si>
  <si>
    <t>Kasztanowa 5</t>
  </si>
  <si>
    <t>Osiedle Rewersowo</t>
  </si>
  <si>
    <t>Wierzbowa</t>
  </si>
  <si>
    <t>Słońsk Górny</t>
  </si>
  <si>
    <t>Wojska Polskiego</t>
  </si>
  <si>
    <t>kolektory słoneczne, pompa ciepła</t>
  </si>
  <si>
    <t>Sportowa 451</t>
  </si>
  <si>
    <t>Graniczna</t>
  </si>
  <si>
    <t>Wspólnota mieszkaniowa ul. Konopnickiej 39</t>
  </si>
  <si>
    <t>Mickiewicza 14</t>
  </si>
  <si>
    <t>Podole 54d</t>
  </si>
  <si>
    <t>Kosmonautów</t>
  </si>
  <si>
    <t>Narutowicza</t>
  </si>
  <si>
    <t>Norwida</t>
  </si>
  <si>
    <t>Nieszawska 111a</t>
  </si>
  <si>
    <t>Bema 7</t>
  </si>
  <si>
    <t>Bema 61</t>
  </si>
  <si>
    <t>Kosmonautów 51</t>
  </si>
  <si>
    <t>Łokietka 8</t>
  </si>
  <si>
    <t>Dembickiego 3</t>
  </si>
  <si>
    <t>Bema 101</t>
  </si>
  <si>
    <t>Bema 7a</t>
  </si>
  <si>
    <t>Bema 71</t>
  </si>
  <si>
    <t>Norwida 56</t>
  </si>
  <si>
    <t>Wołuszewska 64</t>
  </si>
  <si>
    <t>Kosmonautów 28</t>
  </si>
  <si>
    <t>Dembickiego 25</t>
  </si>
  <si>
    <t>Traugutta 172</t>
  </si>
  <si>
    <t>Nieszawska 44</t>
  </si>
  <si>
    <t>Bema 67</t>
  </si>
  <si>
    <t>Kosmonautów 33</t>
  </si>
  <si>
    <t>Norwida 11</t>
  </si>
  <si>
    <t>Traugutta 130</t>
  </si>
  <si>
    <t>Bema 19</t>
  </si>
  <si>
    <t>Wołuszewska</t>
  </si>
  <si>
    <t>Bema 143</t>
  </si>
  <si>
    <t>Norwida 48</t>
  </si>
  <si>
    <t>Traugutta 168</t>
  </si>
  <si>
    <t>Bema175</t>
  </si>
  <si>
    <t>Wołuszewska 62</t>
  </si>
  <si>
    <t>Dembickiego 21</t>
  </si>
  <si>
    <t>Wołuszewska 156</t>
  </si>
  <si>
    <t>Sportowa 40</t>
  </si>
  <si>
    <t>Wołuszewska 38</t>
  </si>
  <si>
    <t>inne: ekogroszek</t>
  </si>
  <si>
    <t>Sportowa 38</t>
  </si>
  <si>
    <t>Bema 7B</t>
  </si>
  <si>
    <t>Matejki 6</t>
  </si>
  <si>
    <t>Chopina 6A</t>
  </si>
  <si>
    <t>Łokietka</t>
  </si>
  <si>
    <t>Maria Romanowska</t>
  </si>
  <si>
    <t>Traugutta 66</t>
  </si>
  <si>
    <t>Kosmonautów 40</t>
  </si>
  <si>
    <t>Traugutta 78</t>
  </si>
  <si>
    <t>Dembickiego 5</t>
  </si>
  <si>
    <t>Sanatorium Uzdrowiskowe "Zdrowie" Sp. z o.o. ul. Piłsudzkiego 3, 87 - 720 Ciechocinek</t>
  </si>
  <si>
    <t>Urząd Miejski w Ciechocinku, ul. Kopernika 18, 87 - 720 Ciechocinek</t>
  </si>
  <si>
    <t>Teatr Letni, ul. Żelazna 5, 87 - 720 Ciechocinek</t>
  </si>
  <si>
    <t>Budynek AA, ul. Tężniowa 6, 87 - 720 Ciechocinek</t>
  </si>
  <si>
    <t>Biuro Kultury, Sportu i Promocji, ul. Zdrojowa 2b, 87 - 720 Ciechocinek</t>
  </si>
  <si>
    <t>Arkusz kalkulacyjny inwentaryzacji emisji dwutlenku węgla na terenie Gminy Miejskiej Ciechocinek, wykonany na potrzeby Planu Gospodarki Niskoemisyjnej dla Gminy Miejskiej Ciechocinek</t>
  </si>
  <si>
    <t>Karta informacyjna - inwentaryzacja Gmina Miejska Ciechocinek</t>
  </si>
  <si>
    <t>GJ</t>
  </si>
  <si>
    <t>zużycie gazu [MWh]</t>
  </si>
  <si>
    <t>ciepło sieciowe</t>
  </si>
  <si>
    <t>Zużycie ciepła [MWh]</t>
  </si>
  <si>
    <t>Przelicznik jednostek</t>
  </si>
  <si>
    <t>1 MWh</t>
  </si>
  <si>
    <t>1 GJ</t>
  </si>
  <si>
    <t>MWh</t>
  </si>
  <si>
    <t>Potrzeby cieplne zaspokajane z danego rodzaju paliwa [MWh]</t>
  </si>
  <si>
    <t>Przepompownia Solanki między Tężniami w Ciechocinku (budynek techniczny)</t>
  </si>
  <si>
    <t>Szpital uzdrowiskowy nr III Markiewicz, ul. S. Staszica 5, Ciechocinek, Zespół Szkół Uzdrowiskowych nr 1, ul. S. Staszica 7, Ciechocinek</t>
  </si>
  <si>
    <t>Kotłownia Zakładu Przyrodoleczniczego nr 1, ul. Kościuszki 14, 87-720 Ciechocinek (Budynek Zarządu, Zespół Sanatoryjny nr 5 - Zachęta, Zakład przyrodoleczniczy nr 1 - część mieszkalna)</t>
  </si>
  <si>
    <t>Szpital Uzdrowiskowy nr 1, ul. Armii Krajowej 6, 87-720 Ciechocinek</t>
  </si>
  <si>
    <t>Kompleks Europa, ul. Armii Krajowej 4, 87-720 Ciechocinek (budynek usługowo - mieszkalny, zabytek)</t>
  </si>
  <si>
    <t>Sanatorium Uzdrowiskowe nr IV GRAŻYNA, ul. R. Traugutta 6, 87-720 Ciechocinek</t>
  </si>
  <si>
    <t>Hotel Uzdrowiskowy St. George, ul. Wojska Polskiego 2, 87-720 Ciechocinek</t>
  </si>
  <si>
    <t>Klinika Uzdrowiskowa "Pod Tężniami" im. Jana Pawła II, Spółdzielnia Usług Medycznych, ul. Warzelniana 7, 87-720 Ciechocinek</t>
  </si>
  <si>
    <t>SPZOZ Orion, Warzelniana 1, 87-720 Ciechocinek</t>
  </si>
  <si>
    <t xml:space="preserve">Rok bazowy </t>
  </si>
  <si>
    <t>Zestawienie działań</t>
  </si>
  <si>
    <t>Nr</t>
  </si>
  <si>
    <t>Działanie</t>
  </si>
  <si>
    <t>Sektor działania</t>
  </si>
  <si>
    <t>Okres realizacji</t>
  </si>
  <si>
    <t>Szacowany koszt</t>
  </si>
  <si>
    <t>Efekt ekologiczny</t>
  </si>
  <si>
    <t>rozpoczęcie</t>
  </si>
  <si>
    <t>zakończenie</t>
  </si>
  <si>
    <t>MWh/rok</t>
  </si>
  <si>
    <r>
      <t>Mg CO</t>
    </r>
    <r>
      <rPr>
        <b/>
        <vertAlign val="subscript"/>
        <sz val="10"/>
        <color theme="1"/>
        <rFont val="Calibri Light"/>
        <family val="2"/>
        <charset val="238"/>
      </rPr>
      <t>2</t>
    </r>
    <r>
      <rPr>
        <b/>
        <sz val="10"/>
        <color theme="1"/>
        <rFont val="Calibri Light"/>
        <family val="2"/>
        <charset val="238"/>
      </rPr>
      <t>/rok</t>
    </r>
  </si>
  <si>
    <t>Wzrost produkcji z OZE [MWh]</t>
  </si>
  <si>
    <t>Niskoemisyjne planowanie przestrzenne</t>
  </si>
  <si>
    <t>międzysektorowe</t>
  </si>
  <si>
    <t>Stosowanie w ramach procedur zamówień publicznych kryteriów „Zielonych zamówień publicznych”</t>
  </si>
  <si>
    <t>Działania edukacyjne , w tym organizacja akcji społecznych związanych z ograniczeniem emisji, efektywnością energetyczną oraz wykorzystaniem odnawialnych źródeł energii</t>
  </si>
  <si>
    <t>Modernizacja i budowa energooszczędnego oświetlenia ulicznego</t>
  </si>
  <si>
    <t>Termomodernizacja budynku Miejskiego Ośrodka Pomocy Społecznej w Ciechocinku</t>
  </si>
  <si>
    <t>Wzrost efektywności energetycznej obiektu Sanatorium „Zdrowie”</t>
  </si>
  <si>
    <t>Rozbudowa Kliniki Uzdrowiskowej „Pod Tężniami” im. Jana Pawła II o kompleks rehabilitacyjny wraz z montażem OZE</t>
  </si>
  <si>
    <t>Budowa i rozbudowa ścieżek rowerowych</t>
  </si>
  <si>
    <t>Budowa wiat fotowoltaicznych</t>
  </si>
  <si>
    <t>Systemy Parkuj i Jedź oraz centra przesiadkowe</t>
  </si>
  <si>
    <t>Instalacje OZE na/w obiektach przedsiębiorstw</t>
  </si>
  <si>
    <t>Termomodernizacja budynków mieszkalnych wraz z audytami energetycznymi</t>
  </si>
  <si>
    <t xml:space="preserve">Suma </t>
  </si>
  <si>
    <t>Miejski Ośrodek Pomocy Społecznej ul. Kopernika 14, 87-720 Ciechocinek</t>
  </si>
  <si>
    <t>Montaż odnawialnych źródeł energii na/w budynkach użyteczności publicznej (obiekty:Miejski Ośrodek Pomocy Społecznej, Miejskie Centrum Kultury w Ciechocinku, KPUP „Ekociech” przy ul. Sportowej, budynki szkół</t>
  </si>
  <si>
    <t>Montaż instalacji fotowoltaicznych na budynkach mieszkalnych</t>
  </si>
  <si>
    <t>Montaż instalacji kolektorów słonecznych na budynkach mieszkalnych</t>
  </si>
  <si>
    <t>Montaż instalacji pomp ciepła dla budynków mieszkalnych</t>
  </si>
  <si>
    <t>Centrum Promocji Zdrowia SANVIT Sp. z o.o. ul. Staszica 8, 87-720 Ciechocinek</t>
  </si>
  <si>
    <t>Przedszkole Samorządowe nr 1 "Bajka", ul. Widok 9, 87 - 720 Ciechocinek</t>
  </si>
  <si>
    <t>Zakład Produkcji Zdrojowej, ul. Solna 2, 87-720 Ciechocinek</t>
  </si>
  <si>
    <t>Wzrost efektywności energetycznej obiektu SPZOZ „ORION”</t>
  </si>
  <si>
    <t>Wzrost efektywności energetycznej obiektów sanatoryjnych</t>
  </si>
  <si>
    <t>Urząd Miejski w Ciechocinku, ul.  Kopernika 19,21, 87- 720 Ciechocinek</t>
  </si>
  <si>
    <t>Zużycie energii elektrycznej</t>
  </si>
  <si>
    <t>Zużycie energii cieplnej</t>
  </si>
  <si>
    <t>Emisja CO2 z tytułu zużycia energii elektrycznej</t>
  </si>
  <si>
    <t>Emisja CO2 z tytułu zużycia energii cieplnej</t>
  </si>
  <si>
    <t>Całkowite zużycie energii</t>
  </si>
  <si>
    <t>Całkowita emisja CO2</t>
  </si>
  <si>
    <t>[MWh/rok]</t>
  </si>
  <si>
    <t>[MgCO2/rok]</t>
  </si>
  <si>
    <t>Wartość</t>
  </si>
  <si>
    <t>BUDYNKI UZDROWISKOWE</t>
  </si>
  <si>
    <t>Szpital uzdrowiskowy nr IV, Dom zdrojowy, ul. Leśna 3, 87-780 Ciechocinek</t>
  </si>
  <si>
    <t>brak danych</t>
  </si>
  <si>
    <t>Jednostka odpowiedzialna</t>
  </si>
  <si>
    <t>Referat Gospodarki Terenami i Ochrony Środowiska</t>
  </si>
  <si>
    <t>Referaty zajmujące się procedurami przetargowymi, w tym m.in. Referat Gospodarki Miejskiej; Referat Gospodarki Terenami i Ochrony Środowiska oraz Biuro Organizacyjne</t>
  </si>
  <si>
    <t>Samodzielne Stanowisko ds. Oświaty i Wychowania</t>
  </si>
  <si>
    <t>Referat Gospodarki Miejskiej</t>
  </si>
  <si>
    <t>Kierownik Miejskiego Ośrodka Pomocy Społecznej w Ciechocinku</t>
  </si>
  <si>
    <t xml:space="preserve">Kierownicy poszczególnych jednostek </t>
  </si>
  <si>
    <t>Kierownik jednostki</t>
  </si>
  <si>
    <t xml:space="preserve">Zmiana organizacji ruchu pojazdów (wyłączenie z ruchu samochodowego ulic w centrum miasta)
</t>
  </si>
  <si>
    <t xml:space="preserve">Kampanie społeczne związane z ekologicznym transportem
</t>
  </si>
  <si>
    <t>Kierownicy poszczególnych przedsiębiorstw</t>
  </si>
  <si>
    <t xml:space="preserve">Mieszkańcy </t>
  </si>
  <si>
    <t>Wskaźnik monitoringu</t>
  </si>
  <si>
    <t>Źródło finansowania</t>
  </si>
  <si>
    <t>środki własne</t>
  </si>
  <si>
    <t>środki własne, środki NFOŚiGW i WFOŚiGW</t>
  </si>
  <si>
    <t>środki własne, środki zewnętrzne, w tym: środki unijne i środki krajowe</t>
  </si>
  <si>
    <t>środki WFOŚiGW</t>
  </si>
  <si>
    <t>Liczba zaktualizowanych dokumentów w zakresie planowania przestrzennego [szt./rok]</t>
  </si>
  <si>
    <t>Liczba postępowań przetargowych z zastosowaniem kryteriów środowiskowych [szt./rok]</t>
  </si>
  <si>
    <t>Liczba przeprowadzonych kampanii edukacyjnych [szt./rok]</t>
  </si>
  <si>
    <t>Liczba zmodernizowanych puntków świetlnych [szt./rok]</t>
  </si>
  <si>
    <t xml:space="preserve">Powierzchnia obiektu podannego termomodernizacji [m2/rok]; Zużycie energii przed i po przeprowadzeniu inwestycji [MWh/rok]  </t>
  </si>
  <si>
    <t>Liczba nowopowstałych instalacji OZE [szt/./rok]; Moc nowopowstałych instalacji OZE [kW/rok]</t>
  </si>
  <si>
    <t>Powierzchnia zmodernizowanego budynku [m2/rok]</t>
  </si>
  <si>
    <t>Powierzchnia zmodernizowanych budynku [m2/rok]</t>
  </si>
  <si>
    <t>Długość wybudowanych i rozbudowanych ścieżek rowerowych [km/rok]</t>
  </si>
  <si>
    <t>Liczba wybudowanych wiat fotowoltaicznych [szt./rok]; moc wybudowanych wiat fotowoltaicznych [kW/rok]</t>
  </si>
  <si>
    <t>Liczba nowopowstałych miejsc parkingowych [szt./rok]</t>
  </si>
  <si>
    <t xml:space="preserve">Powierzchnia miasta wyłaczona z ruchu samochodowego [km2/rok]; długość dróg wyłączonych z ruchu samochodowego [km/rok] </t>
  </si>
  <si>
    <t>Liczba przeprowadzonych kampanii społecznych [szt./rok]</t>
  </si>
  <si>
    <t>Liczba wymienionych kotłów [szt./rok]</t>
  </si>
  <si>
    <t>Planowane rezultaty</t>
  </si>
  <si>
    <t xml:space="preserve">% </t>
  </si>
  <si>
    <t>Udział energii odnawialnej w całkowitym bilansie energetycznym Gminy</t>
  </si>
  <si>
    <t>Efekt ekologiczny działań zaplanowanych w ramach PGN</t>
  </si>
  <si>
    <t>Wzrost wykorzystania energii z OZE [MWh/rok]</t>
  </si>
  <si>
    <t>Budynki mieszkalne</t>
  </si>
  <si>
    <t>Redukcja zużycia energii końcowej [MWh/rok]</t>
  </si>
  <si>
    <t>Redukcja emisji CO2 [Mg/rok]</t>
  </si>
  <si>
    <t>Wykorzystanie energii ze źródeł odnawialnych [MWh/rok]</t>
  </si>
  <si>
    <t>Zużycie energii końcowej [MWh/rok]</t>
  </si>
  <si>
    <t>Emisja CO2 [Mg/rok]</t>
  </si>
  <si>
    <t>Wskaźnik emisji CO2 dla energii elektrycznej [Mg/MWh]</t>
  </si>
  <si>
    <t>Wskaźnik emisji CO2 dla energii cieplnej [Mg/GJ]</t>
  </si>
  <si>
    <t>Charakterystyka systemu oświetleniowego - stan na rok 2014</t>
  </si>
  <si>
    <t>Zużycie energii [GJ]</t>
  </si>
  <si>
    <t>Charakterystyka systemu oświetleniowego - prognoza na rok 2020</t>
  </si>
  <si>
    <r>
      <t>Wskaźnik emisji [MgCO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/MWh]</t>
    </r>
  </si>
  <si>
    <r>
      <t>wskaźnik emisji [MgCO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/GJ]</t>
    </r>
  </si>
  <si>
    <r>
      <t>Emisja [Mg CO</t>
    </r>
    <r>
      <rPr>
        <b/>
        <vertAlign val="subscript"/>
        <sz val="10"/>
        <color theme="1"/>
        <rFont val="Calibri"/>
        <family val="2"/>
        <charset val="238"/>
        <scheme val="major"/>
      </rPr>
      <t>2</t>
    </r>
    <r>
      <rPr>
        <b/>
        <sz val="10"/>
        <color theme="1"/>
        <rFont val="Calibri"/>
        <family val="2"/>
        <charset val="238"/>
        <scheme val="major"/>
      </rPr>
      <t>]</t>
    </r>
  </si>
  <si>
    <r>
      <t>Powierzchnia użytkowa [m</t>
    </r>
    <r>
      <rPr>
        <b/>
        <vertAlign val="super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</si>
  <si>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 xml:space="preserve"> z energii elektrycznej [Mg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</si>
  <si>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 xml:space="preserve"> ze zużycia energii na potrzeby cieplne [Mg CO</t>
    </r>
    <r>
      <rPr>
        <b/>
        <vertAlign val="subscript"/>
        <sz val="10"/>
        <color theme="0"/>
        <rFont val="Calibri Light"/>
        <family val="2"/>
        <charset val="238"/>
      </rPr>
      <t>2</t>
    </r>
    <r>
      <rPr>
        <b/>
        <sz val="10"/>
        <color theme="0"/>
        <rFont val="Calibri Light"/>
        <family val="2"/>
        <charset val="238"/>
      </rPr>
      <t>]</t>
    </r>
  </si>
  <si>
    <t>Łączna liczba pojazdów</t>
  </si>
  <si>
    <t>Liczba pojazdów</t>
  </si>
  <si>
    <t>Rodzaj Paliwa</t>
  </si>
  <si>
    <t>Gęstość paliwa [t/m3]</t>
  </si>
  <si>
    <t>Średni przebieg [km/rok]</t>
  </si>
  <si>
    <t>Średnie spalanie [dm3/km]</t>
  </si>
  <si>
    <t>wartość opałowa [GJ/kg]</t>
  </si>
  <si>
    <t>Zużycie paliwa [GJ/rok]</t>
  </si>
  <si>
    <t>Zużycie paliwa [MWh/rok]</t>
  </si>
  <si>
    <t xml:space="preserve">benzyna </t>
  </si>
  <si>
    <t>Diesel</t>
  </si>
  <si>
    <t>olej napędowy</t>
  </si>
  <si>
    <t>LPG</t>
  </si>
  <si>
    <t>gaz płynny (LPG)</t>
  </si>
  <si>
    <t>Sam. Osobowe</t>
  </si>
  <si>
    <t>TRANSPORT PRYWATNY</t>
  </si>
  <si>
    <r>
      <t>Powierzchnia użytkowa [m</t>
    </r>
    <r>
      <rPr>
        <b/>
        <vertAlign val="super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</si>
  <si>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 xml:space="preserve"> z energii elektrycznej [Mg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</si>
  <si>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r>
      <t>Emisja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 xml:space="preserve"> ze zużycia energii na potrzeby cieplne [Mg CO</t>
    </r>
    <r>
      <rPr>
        <b/>
        <vertAlign val="subscript"/>
        <sz val="11"/>
        <color theme="0"/>
        <rFont val="Calibri Light"/>
        <family val="2"/>
        <charset val="238"/>
      </rPr>
      <t>2</t>
    </r>
    <r>
      <rPr>
        <b/>
        <sz val="11"/>
        <color theme="0"/>
        <rFont val="Calibri Light"/>
        <family val="2"/>
        <charset val="238"/>
      </rPr>
      <t>]</t>
    </r>
  </si>
  <si>
    <t>Tabor gminny</t>
  </si>
  <si>
    <t>TRANSPORT KOMERCYJNY</t>
  </si>
  <si>
    <t>Samochody służbowe</t>
  </si>
  <si>
    <t>Śmieciarki</t>
  </si>
  <si>
    <t>Pozostałe pojazdy służące do utrzymania porządku w Mieście Ciechocinek</t>
  </si>
  <si>
    <t>Roczne zużycie paliw [dm3]</t>
  </si>
  <si>
    <t>Rodzaj paliwa</t>
  </si>
  <si>
    <t>TRANSPORT GMINNY</t>
  </si>
  <si>
    <t>Transport prywatny</t>
  </si>
  <si>
    <t>Transport komercyjny</t>
  </si>
  <si>
    <t>Zużycie energii [GJ/rok]</t>
  </si>
  <si>
    <t>Zużycie [MWh/rok]</t>
  </si>
  <si>
    <t>Zużycie paliw</t>
  </si>
  <si>
    <t>Biomasa</t>
  </si>
  <si>
    <t>Mg</t>
  </si>
  <si>
    <t>m3</t>
  </si>
  <si>
    <t>Zużycie ciepła [GJ/rok]</t>
  </si>
  <si>
    <t xml:space="preserve">Zużycie paliwa </t>
  </si>
  <si>
    <t>Zużycie ciepła w budynkach ankietowanych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</si>
  <si>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/GJ]</t>
    </r>
  </si>
  <si>
    <t xml:space="preserve">Przemysł </t>
  </si>
  <si>
    <t>Gospodarstwa domowe</t>
  </si>
  <si>
    <t>Użyteczność publiczna</t>
  </si>
  <si>
    <t>Handel/usługi</t>
  </si>
  <si>
    <t>Liczba odbiorców [budynków]</t>
  </si>
  <si>
    <t>Powierzchnia ogrzewanych budynków</t>
  </si>
  <si>
    <t>Charakterystyka miejskiego systemu ciepłowniczego</t>
  </si>
  <si>
    <t>źródło: Ekociech Sp. z o.o. Ciechocinek</t>
  </si>
  <si>
    <t>Kategoria</t>
  </si>
  <si>
    <t>Paliwa kopalne</t>
  </si>
  <si>
    <t>Energia odnawialna</t>
  </si>
  <si>
    <t>Razem</t>
  </si>
  <si>
    <t>Gaz ciekły</t>
  </si>
  <si>
    <t xml:space="preserve"> </t>
  </si>
  <si>
    <t>Budynki komunalne</t>
  </si>
  <si>
    <t>Przemysł</t>
  </si>
  <si>
    <t>TRANSPORT:</t>
  </si>
  <si>
    <t>Transport</t>
  </si>
  <si>
    <t>Budynki niekomunalne</t>
  </si>
  <si>
    <t>Prognoza 2020</t>
  </si>
  <si>
    <t>Samochody policyjne</t>
  </si>
  <si>
    <t>Komunalne oświetlenie publiczne</t>
  </si>
  <si>
    <t>System oświetlenia publicznego</t>
  </si>
  <si>
    <t>Wskaźnik emisji CO2</t>
  </si>
  <si>
    <t>Emisja CO2</t>
  </si>
  <si>
    <t xml:space="preserve">Ograniczenie emisji z budynków mieszkalnych – wymiana kotłów </t>
  </si>
  <si>
    <t>Średnie spalanie [l/km]</t>
  </si>
  <si>
    <t>Długość trasy [km]</t>
  </si>
  <si>
    <t xml:space="preserve">Liczba samochodów korzystających z obiektu P&amp;R </t>
  </si>
  <si>
    <t xml:space="preserve">Liczba dni roboczych w roku </t>
  </si>
  <si>
    <t>Roczne zużycie paliwa [l/rok]</t>
  </si>
  <si>
    <t xml:space="preserve">Gęstość paliwa [kg/l] </t>
  </si>
  <si>
    <t>Roczne zużycie paliwa w [kg/ rok]</t>
  </si>
  <si>
    <t>Wartość opałowa [MJ/kg]</t>
  </si>
  <si>
    <t>Wartość opałowa [GJ/kg]</t>
  </si>
  <si>
    <t>Roczne zużycie energii w GJ/rok</t>
  </si>
  <si>
    <r>
      <t>Wskaźnik emisji</t>
    </r>
    <r>
      <rPr>
        <b/>
        <sz val="9"/>
        <color theme="1"/>
        <rFont val="Arial"/>
        <family val="2"/>
        <charset val="238"/>
      </rPr>
      <t xml:space="preserve"> CO</t>
    </r>
    <r>
      <rPr>
        <b/>
        <vertAlign val="subscript"/>
        <sz val="9"/>
        <color theme="1"/>
        <rFont val="Arial"/>
        <family val="2"/>
        <charset val="238"/>
      </rPr>
      <t>2</t>
    </r>
  </si>
  <si>
    <t>Wskaźnik emisji</t>
  </si>
  <si>
    <r>
      <t xml:space="preserve">Emisja </t>
    </r>
    <r>
      <rPr>
        <b/>
        <sz val="9"/>
        <color rgb="FF000000"/>
        <rFont val="Arial"/>
        <family val="2"/>
        <charset val="238"/>
      </rPr>
      <t xml:space="preserve">[Mg </t>
    </r>
    <r>
      <rPr>
        <b/>
        <sz val="9"/>
        <color theme="1"/>
        <rFont val="Arial"/>
        <family val="2"/>
        <charset val="238"/>
      </rPr>
      <t>CO</t>
    </r>
    <r>
      <rPr>
        <b/>
        <vertAlign val="subscript"/>
        <sz val="9"/>
        <color theme="1"/>
        <rFont val="Arial"/>
        <family val="2"/>
        <charset val="238"/>
      </rPr>
      <t>2</t>
    </r>
    <r>
      <rPr>
        <b/>
        <sz val="9"/>
        <color rgb="FF000000"/>
        <rFont val="Arial"/>
        <family val="2"/>
        <charset val="238"/>
      </rPr>
      <t xml:space="preserve"> /rok]</t>
    </r>
  </si>
  <si>
    <t xml:space="preserve"> [kg/GJ]</t>
  </si>
  <si>
    <r>
      <t>[Mg</t>
    </r>
    <r>
      <rPr>
        <b/>
        <sz val="9"/>
        <color theme="1"/>
        <rFont val="Arial"/>
        <family val="2"/>
        <charset val="238"/>
      </rPr>
      <t>CO</t>
    </r>
    <r>
      <rPr>
        <b/>
        <vertAlign val="subscript"/>
        <sz val="9"/>
        <color theme="1"/>
        <rFont val="Arial"/>
        <family val="2"/>
        <charset val="238"/>
      </rPr>
      <t xml:space="preserve">2 </t>
    </r>
    <r>
      <rPr>
        <b/>
        <sz val="9"/>
        <color rgb="FF000000"/>
        <rFont val="Arial"/>
        <family val="2"/>
        <charset val="238"/>
      </rPr>
      <t>/GJ]</t>
    </r>
  </si>
  <si>
    <t>1.</t>
  </si>
  <si>
    <t>2.</t>
  </si>
  <si>
    <t>3.</t>
  </si>
  <si>
    <t>4.</t>
  </si>
  <si>
    <t>5 = (1 x 2 x 3 x 4)</t>
  </si>
  <si>
    <t>6.</t>
  </si>
  <si>
    <t>7 = (5 x 6)</t>
  </si>
  <si>
    <t>8.</t>
  </si>
  <si>
    <t>9 = 8/1000</t>
  </si>
  <si>
    <t>10 = (7 x 9)</t>
  </si>
  <si>
    <t>11.</t>
  </si>
  <si>
    <t>12.</t>
  </si>
  <si>
    <t>13 =</t>
  </si>
  <si>
    <t>(10 x 12)</t>
  </si>
  <si>
    <r>
      <t xml:space="preserve">Obiekt </t>
    </r>
    <r>
      <rPr>
        <b/>
        <sz val="10"/>
        <color theme="1"/>
        <rFont val="Arial"/>
        <family val="2"/>
        <charset val="238"/>
      </rPr>
      <t xml:space="preserve">P&amp;R </t>
    </r>
  </si>
  <si>
    <t>Emisja</t>
  </si>
  <si>
    <t>Energia [MWh/rok]</t>
  </si>
  <si>
    <r>
      <t xml:space="preserve">[Mg </t>
    </r>
    <r>
      <rPr>
        <b/>
        <sz val="10"/>
        <color theme="1"/>
        <rFont val="Arial"/>
        <family val="2"/>
        <charset val="238"/>
      </rPr>
      <t>CO</t>
    </r>
    <r>
      <rPr>
        <b/>
        <vertAlign val="subscript"/>
        <sz val="10"/>
        <color theme="1"/>
        <rFont val="Arial"/>
        <family val="2"/>
        <charset val="238"/>
      </rPr>
      <t>2</t>
    </r>
    <r>
      <rPr>
        <b/>
        <sz val="10"/>
        <color rgb="FF000000"/>
        <rFont val="Arial"/>
        <family val="2"/>
        <charset val="238"/>
      </rPr>
      <t>/rok]</t>
    </r>
  </si>
  <si>
    <t>Zintegrowane Centrum Przesiadkowe</t>
  </si>
  <si>
    <t xml:space="preserve">RAZEM </t>
  </si>
  <si>
    <t>Dni robocze</t>
  </si>
  <si>
    <t>Średnia ilość osób korzystających ze ścieżki rowerowej w dzień roboczy</t>
  </si>
  <si>
    <t>Udział procentowy rowerzystów, którzy przesiedli się z transportu indywidualnego</t>
  </si>
  <si>
    <t>Liczba osób</t>
  </si>
  <si>
    <t xml:space="preserve">Liczba samochodów </t>
  </si>
  <si>
    <t>3 =(1 x 2)</t>
  </si>
  <si>
    <t>4 =(3 / 1,5*)</t>
  </si>
  <si>
    <t>Długość ścieżki rowerowej</t>
  </si>
  <si>
    <t>Liczba samochodów</t>
  </si>
  <si>
    <t>Liczba dni roboczych w roku</t>
  </si>
  <si>
    <t>Gęstość paliwa [kg/l]</t>
  </si>
  <si>
    <t>Roczne zużycie energii w MWh/rok</t>
  </si>
  <si>
    <t>[km]</t>
  </si>
  <si>
    <t>x=10 x 0,277</t>
  </si>
  <si>
    <t>13 =(10 x 12)</t>
  </si>
  <si>
    <t>Dni wolne</t>
  </si>
  <si>
    <t>Średnia ilość osób korzystających ze ścieżki rowerowej w dzień wolny od pracy</t>
  </si>
  <si>
    <t>3 =(1x2)</t>
  </si>
  <si>
    <t>[MgCO2/GJ]</t>
  </si>
  <si>
    <t>[Mg CO2/rok]</t>
  </si>
  <si>
    <t>Rodzaj dni</t>
  </si>
  <si>
    <t>Dni wolne od pracy</t>
  </si>
  <si>
    <t>Objaśnienia: „Wartość opałowa” oraz „ Wskaźnik emisji CO2” źródło: „Wartości opałowe (WO) i wskaźniki emisji CO2  (WE) w roku 2013 do raportowania w ramach Wspólnotowego Systemu Handlu Uprawnieniami do Emisji za rok 2016”; gęstość benzyny przyjęto 0,755kg/l zgodnie z Rozporządzeniem Ministra Środowiska z dnia 27 lutego 2014 r. w sprawie wykazów zawierających informacje i dane o zakresie korzystania ze środowiska oraz o wysokości należnych opłat</t>
  </si>
  <si>
    <r>
      <t>Wskaźnik emisji</t>
    </r>
    <r>
      <rPr>
        <b/>
        <sz val="9"/>
        <color theme="1"/>
        <rFont val="Calibri Light"/>
        <family val="2"/>
        <charset val="238"/>
      </rPr>
      <t xml:space="preserve"> CO</t>
    </r>
    <r>
      <rPr>
        <b/>
        <vertAlign val="subscript"/>
        <sz val="9"/>
        <color theme="1"/>
        <rFont val="Calibri Light"/>
        <family val="2"/>
        <charset val="238"/>
      </rPr>
      <t>2</t>
    </r>
  </si>
  <si>
    <r>
      <t>[Mg</t>
    </r>
    <r>
      <rPr>
        <b/>
        <sz val="9"/>
        <color theme="1"/>
        <rFont val="Calibri Light"/>
        <family val="2"/>
        <charset val="238"/>
      </rPr>
      <t>CO</t>
    </r>
    <r>
      <rPr>
        <b/>
        <vertAlign val="subscript"/>
        <sz val="9"/>
        <color theme="1"/>
        <rFont val="Calibri Light"/>
        <family val="2"/>
        <charset val="238"/>
      </rPr>
      <t>2</t>
    </r>
    <r>
      <rPr>
        <b/>
        <sz val="9"/>
        <color rgb="FF000000"/>
        <rFont val="Calibri Light"/>
        <family val="2"/>
        <charset val="238"/>
      </rPr>
      <t>/GJ]</t>
    </r>
  </si>
  <si>
    <r>
      <t xml:space="preserve">[Mg </t>
    </r>
    <r>
      <rPr>
        <b/>
        <sz val="9"/>
        <color theme="1"/>
        <rFont val="Calibri Light"/>
        <family val="2"/>
        <charset val="238"/>
      </rPr>
      <t>CO</t>
    </r>
    <r>
      <rPr>
        <b/>
        <vertAlign val="subscript"/>
        <sz val="9"/>
        <color theme="1"/>
        <rFont val="Calibri Light"/>
        <family val="2"/>
        <charset val="238"/>
      </rPr>
      <t>2</t>
    </r>
    <r>
      <rPr>
        <b/>
        <sz val="9"/>
        <color rgb="FF000000"/>
        <rFont val="Calibri Light"/>
        <family val="2"/>
        <charset val="238"/>
      </rPr>
      <t>/rok]</t>
    </r>
  </si>
  <si>
    <r>
      <t xml:space="preserve">[Mg </t>
    </r>
    <r>
      <rPr>
        <b/>
        <sz val="10"/>
        <color theme="1"/>
        <rFont val="Calibri Light"/>
        <family val="2"/>
        <charset val="238"/>
      </rPr>
      <t>CO</t>
    </r>
    <r>
      <rPr>
        <b/>
        <vertAlign val="subscript"/>
        <sz val="10"/>
        <color theme="1"/>
        <rFont val="Calibri Light"/>
        <family val="2"/>
        <charset val="238"/>
      </rPr>
      <t>2</t>
    </r>
    <r>
      <rPr>
        <b/>
        <sz val="10"/>
        <color rgb="FF000000"/>
        <rFont val="Calibri Light"/>
        <family val="2"/>
        <charset val="238"/>
      </rPr>
      <t>/rok]</t>
    </r>
  </si>
  <si>
    <t>Przemysł i budynki niekomunalne</t>
  </si>
  <si>
    <t>A. Końcowe zużycie energii</t>
  </si>
  <si>
    <t>Gaz ziemny</t>
  </si>
  <si>
    <t>Węgiel brunatny</t>
  </si>
  <si>
    <t>Węgiel kamienny</t>
  </si>
  <si>
    <t>Inne paliwa kopalne</t>
  </si>
  <si>
    <t>Olej roślinny</t>
  </si>
  <si>
    <t xml:space="preserve">Biopaliwo </t>
  </si>
  <si>
    <t>Inna biomasa</t>
  </si>
  <si>
    <t>Słoneczna cieplna</t>
  </si>
  <si>
    <t>Geotermiczna</t>
  </si>
  <si>
    <t>BUDYNKI, WYPOSAŻENIE/URZĄDZENIA I PRZEMYSŁ:</t>
  </si>
  <si>
    <t>Budynki, wyposażenie/urządzenia komunalne</t>
  </si>
  <si>
    <t>Budynki, wyposażenie/urządzenia usługowe (niekomunalne)</t>
  </si>
  <si>
    <t>Przemysł (z wyjątkiem zakładów objętych systemem handlu uprawnieniami do emisji UE — ETS)</t>
  </si>
  <si>
    <t>Budynki, wyposażenie/urządzenia i przemysł razem</t>
  </si>
  <si>
    <t>Transport razem</t>
  </si>
  <si>
    <t>B. Emisje CO2 lub ekwiwalentu CO2</t>
  </si>
  <si>
    <t>INNE:</t>
  </si>
  <si>
    <t>Gospodarowanie odpadami</t>
  </si>
  <si>
    <t>Gospodarowanie ściekami</t>
  </si>
  <si>
    <t>Odnośne współczynniki emisji CO2 w [t/MWh]</t>
  </si>
  <si>
    <t>Współczynnik emisji CO2 dla energii elektrycznej niewytwarzanej lokalnie [t/MWh]</t>
  </si>
  <si>
    <t>C. Lokalne wytwarzanie energii elektrycznej i odnośne emisje CO2</t>
  </si>
  <si>
    <t>Energia elektryczna wytwarzana lokalnie                                                                  (z wyjątkiem zakładów ETS oraz wszystkich zakładów/jednostek &gt; 20 MW)</t>
  </si>
  <si>
    <t>Energia elektryczna wytwarzana lokalnie [MWh]</t>
  </si>
  <si>
    <t xml:space="preserve">  Nakład nośników energii [MWh]</t>
  </si>
  <si>
    <t>Emisje CO2/ekw. CO2 [t]</t>
  </si>
  <si>
    <t>Odnośne współczynniki emisji CO2 dla wytwarzania energii elektrycznej w [t/MWh]</t>
  </si>
  <si>
    <t>Para</t>
  </si>
  <si>
    <t>Odpady</t>
  </si>
  <si>
    <t>Inne źródła odnawialne</t>
  </si>
  <si>
    <t>Inne</t>
  </si>
  <si>
    <t>Energia wiatru</t>
  </si>
  <si>
    <t>Energia hydroelektryczna</t>
  </si>
  <si>
    <t>Fotowoltaiczna</t>
  </si>
  <si>
    <t>Kogeneracja</t>
  </si>
  <si>
    <r>
      <t xml:space="preserve">Inne
</t>
    </r>
    <r>
      <rPr>
        <b/>
        <i/>
        <sz val="11"/>
        <color indexed="23"/>
        <rFont val="Arial"/>
        <family val="2"/>
        <charset val="238"/>
      </rPr>
      <t>Należy podać: _________________</t>
    </r>
    <r>
      <rPr>
        <b/>
        <i/>
        <sz val="11"/>
        <color indexed="8"/>
        <rFont val="Arial"/>
        <family val="2"/>
        <charset val="238"/>
      </rPr>
      <t xml:space="preserve">  </t>
    </r>
    <r>
      <rPr>
        <b/>
        <sz val="11"/>
        <color indexed="8"/>
        <rFont val="Arial"/>
        <family val="2"/>
        <charset val="238"/>
      </rPr>
      <t xml:space="preserve">                      </t>
    </r>
  </si>
  <si>
    <t>KOŃCOWE ZUŻYCIE ENERGII [MWh] w roku bazowym 2014</t>
  </si>
  <si>
    <t>KOŃCOWE ZUŻYCIE ENERGII [MWh] w prognozowanym roku 2020</t>
  </si>
  <si>
    <t>Emisje CO2 [t]/emisje ekwiwalentu CO2 [t] w roku bazownym 2014</t>
  </si>
  <si>
    <t xml:space="preserve">Transport komercyjny  </t>
  </si>
  <si>
    <t>Emisje CO2 [t]/emisje ekwiwalentu CO2 [t] w prognozowanym roku 2020</t>
  </si>
  <si>
    <t>Założenia:</t>
  </si>
  <si>
    <t>Zużycie ciepła na pow. ankietyzowaną</t>
  </si>
  <si>
    <t>powierzchnia ankietyzowana</t>
  </si>
  <si>
    <t>całkowita pow. mieszkań w gminie</t>
  </si>
  <si>
    <t>Olej opałowy [GJ]</t>
  </si>
  <si>
    <t>Powierzchnia z ankietyzacji [m2]</t>
  </si>
  <si>
    <t>GJ/l</t>
  </si>
  <si>
    <t xml:space="preserve">Paliwo </t>
  </si>
  <si>
    <t>Struktura paliw z ankietyzacji</t>
  </si>
  <si>
    <t>Struktura zużycia paliw grzewczych na terenie gminy</t>
  </si>
  <si>
    <t>Paliwo</t>
  </si>
  <si>
    <t>zużycie ciepła na całkowitą pow. mieszkań w gminie [GJ] (bez pow ogrzewanej gazem i ciepłem z sieci)</t>
  </si>
  <si>
    <t>Zapotrzebowanie na ciepło ogółem w gminie [GJ]</t>
  </si>
  <si>
    <t>TRANSPORT KOMERCYJNY AUTOBUSY</t>
  </si>
  <si>
    <t>Transport komercyjny autobusy</t>
  </si>
  <si>
    <t>Kolektory słoneczne na obiektach mieszkalnych</t>
  </si>
  <si>
    <t>Pozycja</t>
  </si>
  <si>
    <t>Źródło</t>
  </si>
  <si>
    <t>Ilość nowowybudowanych instalacji</t>
  </si>
  <si>
    <t>sztuk</t>
  </si>
  <si>
    <t>Założenie</t>
  </si>
  <si>
    <t>Powierzchnia czynna kolektorów w jednej instalacji</t>
  </si>
  <si>
    <t>m2</t>
  </si>
  <si>
    <t>Dzienny uzysk energii</t>
  </si>
  <si>
    <t>MJ/m2</t>
  </si>
  <si>
    <t>Dane branżowe</t>
  </si>
  <si>
    <t>Liczba dni słonecznych</t>
  </si>
  <si>
    <t>dni</t>
  </si>
  <si>
    <t>Roczny uzysk energii z jednej instalacji</t>
  </si>
  <si>
    <t>MJ</t>
  </si>
  <si>
    <t>Łączny roczny uzysk energii</t>
  </si>
  <si>
    <t>Wskaźnik emisji spalania węgla na cele grzewcze</t>
  </si>
  <si>
    <t>Mg CO2/GJ</t>
  </si>
  <si>
    <t>Dane KOBiZE</t>
  </si>
  <si>
    <t>Uniknięta emisja</t>
  </si>
  <si>
    <t>Mg CO2</t>
  </si>
  <si>
    <t>Koszt budowy instalacji kolektorów słonecznych</t>
  </si>
  <si>
    <t>zł/instalcję</t>
  </si>
  <si>
    <t>Łączny koszt inwestycyjny</t>
  </si>
  <si>
    <t>zł</t>
  </si>
  <si>
    <t>Koszt jednostkowy unikniętej emisji</t>
  </si>
  <si>
    <t>zł/Mg CO2</t>
  </si>
  <si>
    <t>Szacunkowa moc jednej instalacji</t>
  </si>
  <si>
    <t>kW</t>
  </si>
  <si>
    <t>Łączna moc instalacji</t>
  </si>
  <si>
    <t>Roczny uzysk energii z 1 MW mocy instalacji</t>
  </si>
  <si>
    <t>Wskaźnik emisji dla energii elektrycznej w sieci</t>
  </si>
  <si>
    <t>Mg CO2/MWh</t>
  </si>
  <si>
    <t>Łączny uzysk energii</t>
  </si>
  <si>
    <t>Koszt inwestycyjny</t>
  </si>
  <si>
    <t>zł/kW</t>
  </si>
  <si>
    <t xml:space="preserve">Montaż instalacji fotowoltaicznych na budynkach mieszkalnych </t>
  </si>
  <si>
    <t>Roczny uzysk energii z 1 kW mocy instalacji</t>
  </si>
  <si>
    <t xml:space="preserve">Łączny uzysk energii </t>
  </si>
  <si>
    <t>KOBIZE</t>
  </si>
  <si>
    <t>Gaz [m3]</t>
  </si>
  <si>
    <t>wartość eneretyczna biomasy (biomasa.org)</t>
  </si>
  <si>
    <t>MJ/kg</t>
  </si>
  <si>
    <t>kg/m3</t>
  </si>
  <si>
    <t>gęstość biomasy (biomasa.org)</t>
  </si>
  <si>
    <t>Biomasa*</t>
  </si>
  <si>
    <t>*zużycie biomasy obliczno na podstawie wskaźników z zadkładki "wskaźniki"</t>
  </si>
  <si>
    <t>Liczba zamontowanych pomp ciepła</t>
  </si>
  <si>
    <t>szt.</t>
  </si>
  <si>
    <t>Powierzchnia budynku dla montowanej pompy ciepła</t>
  </si>
  <si>
    <t>Średnie zapotrzebowanie na ciepło budynku mieszkalnego</t>
  </si>
  <si>
    <t>GJ/m2</t>
  </si>
  <si>
    <t>MWh/m2</t>
  </si>
  <si>
    <t>Uzysk energii z 1 MWh energii elektrycznej</t>
  </si>
  <si>
    <t>Łączny koszt inwestycji</t>
  </si>
  <si>
    <t>zł/instalację</t>
  </si>
  <si>
    <t>Koszt inwestycji</t>
  </si>
  <si>
    <t>Dane branżowe (viessmann.pl)</t>
  </si>
  <si>
    <t>założenia</t>
  </si>
  <si>
    <t>Dane naukowe ( na podst. współczynnika COP)</t>
  </si>
  <si>
    <t>przykładowe dane</t>
  </si>
  <si>
    <t>dane z ankietyzacji</t>
  </si>
  <si>
    <t>Wzrost zużycia energii z OZE</t>
  </si>
  <si>
    <t xml:space="preserve">Łączne zapotrzebowanie na ciepło </t>
  </si>
  <si>
    <t>Ograniczenie niskiej emisji z budynków mieszkalnych - wymiana źródła ciepła</t>
  </si>
  <si>
    <t>Ilość mieszkań na terenie gminy</t>
  </si>
  <si>
    <t>Dane GUS</t>
  </si>
  <si>
    <t>Przeciętna powierzchnia użytkowa</t>
  </si>
  <si>
    <t>Łączna powierzchnia mieszkań</t>
  </si>
  <si>
    <t>Zapotrzebowanie energetyczne budynków - ogrzewanie</t>
  </si>
  <si>
    <t>GJ/rok</t>
  </si>
  <si>
    <t>Wynik inwentaryzacji</t>
  </si>
  <si>
    <t>GJ/m2/rok</t>
  </si>
  <si>
    <t>Ilość obiektów objętych wymianą źródła ciepła</t>
  </si>
  <si>
    <t>Koszt wymiany jednego kotła</t>
  </si>
  <si>
    <t>zł/mieszkanie</t>
  </si>
  <si>
    <t>zapotrzebowanie na energię 2014 [GJ/m2]</t>
  </si>
  <si>
    <t>Transport publiczny</t>
  </si>
  <si>
    <t>b.d.</t>
  </si>
  <si>
    <t>rok 2024 - prognoza</t>
  </si>
  <si>
    <t>2024 - Prognoza</t>
  </si>
  <si>
    <t>Prognoza 2024</t>
  </si>
  <si>
    <t>Ogólne zapotrzebowanie na energię w roku 2024 r. [GJ]</t>
  </si>
  <si>
    <t>Charakterystyka systemu oświetleniowego - prognoza na rok 2024</t>
  </si>
  <si>
    <t>Prognoza na rok 2024</t>
  </si>
  <si>
    <t>KOŃCOWE ZUŻYCIE ENERGII [MWh] w prognozowanym roku 2024</t>
  </si>
  <si>
    <t>Emisje CO2 [t]/emisje ekwiwalentu CO2 [t] w prognozowanym roku 2024</t>
  </si>
  <si>
    <t>Modernizacja i budowa energooszczędnego oświetlenia ulicznego (zrealizowano 363 szt. punktów oświetleniowych z założonych 800 szt.)</t>
  </si>
  <si>
    <t>nie zrealizowano</t>
  </si>
  <si>
    <t>Montaż instalacji fotowoltaicznych na budynkach mieszkalnych (zakładano montaż 50 instalacji, zrealizowano 9)</t>
  </si>
  <si>
    <t>Montaż instalacji fotowoltaicznych na budynkach mieszkalnych - 40 instalacji</t>
  </si>
  <si>
    <t>Termomodernizacja budynku Szkoły Podstawowej nr 1</t>
  </si>
  <si>
    <t>termomodernizacja budynku Szkoły Podstawowej nr 3</t>
  </si>
  <si>
    <t>Poniesione koszty</t>
  </si>
  <si>
    <t>nie zrealziowano</t>
  </si>
  <si>
    <t>Szkoła Podstawowa nr 1 im. Marszałka Józefa Piłsudskiego, Kopernika 18, 87-720, Ciechocinek</t>
  </si>
  <si>
    <t>Szkoła Podstawowa nr 3 im. Polskich Olimpijczyków, Wojska Polskiego 37, 87-720 Ciechocinek</t>
  </si>
  <si>
    <t>Termomodernizacja budynków mieszkalnych wraz z audytami energetycznymi (zrealizowano 20 termomodernizacji)</t>
  </si>
  <si>
    <t>Prognoza na rok 2024 (bez wprowadzenia PGN)</t>
  </si>
  <si>
    <t>Prognoza na rok 2024 (po wdrożeniu działań zaplanowanych w PGN)</t>
  </si>
  <si>
    <t>Modernizacja i budowa energooszczędnego oświetlenia ulicznego (600 szt.)</t>
  </si>
  <si>
    <t>Redukcja emisji czynników określonych w POP</t>
  </si>
  <si>
    <t>CO2</t>
  </si>
  <si>
    <t>B(a)P</t>
  </si>
  <si>
    <t>PM10</t>
  </si>
  <si>
    <t>Całkowity dla terenu gminy</t>
  </si>
  <si>
    <t>Sektor samorząd</t>
  </si>
  <si>
    <t>Sektor społeczeństwo</t>
  </si>
  <si>
    <t>Rok bazowy 2014</t>
  </si>
  <si>
    <t>Poziom emisji dwutlenku węgla w budynkach i przemyśle</t>
  </si>
  <si>
    <t>2024 – scenariusz niskoemisyjny</t>
  </si>
  <si>
    <t>Poziom zmian</t>
  </si>
  <si>
    <t>Poziom emisji dwutlenku węgla w transporcie</t>
  </si>
  <si>
    <t>Wartości wskaźników rezultatów dla sektora transportu</t>
  </si>
  <si>
    <t>Wskaźnik oceny</t>
  </si>
  <si>
    <t>Przewidywany trend</t>
  </si>
  <si>
    <r>
      <t>Mg CO</t>
    </r>
    <r>
      <rPr>
        <vertAlign val="subscript"/>
        <sz val="10"/>
        <color rgb="FF000000"/>
        <rFont val="Calibri"/>
        <family val="2"/>
        <charset val="238"/>
      </rPr>
      <t>2</t>
    </r>
    <r>
      <rPr>
        <sz val="10"/>
        <color rgb="FF000000"/>
        <rFont val="Calibri"/>
        <family val="2"/>
        <charset val="238"/>
      </rPr>
      <t>/rok</t>
    </r>
  </si>
  <si>
    <t>spadek</t>
  </si>
  <si>
    <t>Zużycie energii finalnej</t>
  </si>
  <si>
    <t>w transporcie</t>
  </si>
  <si>
    <t>Długość ścieżek rowerowych</t>
  </si>
  <si>
    <t>km</t>
  </si>
  <si>
    <t>wzrost</t>
  </si>
  <si>
    <t>Wartości wskaźników rezultatów dla sektora budynków, wyposażenia i przemysłu</t>
  </si>
  <si>
    <t>Wzrost udziału OZE</t>
  </si>
  <si>
    <t>Budynek Zarządu Uzdrowiska tzw. "Pałacyk Dyrekcji", ul. Kościuszki 10, 87-720 Ciechocinek</t>
  </si>
  <si>
    <t>Termomodernizacja budynku Szpitala Uzdrowiskowego nr 1</t>
  </si>
  <si>
    <t>Termomodernizacja budynku Zarządu Uzdrowiska, tzw. "Pałacyku Dyrekcji"</t>
  </si>
  <si>
    <t>Uzdrowisko Ciechocinek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</si>
</sst>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zł&quot;#,##0.00_);[Red]\(&quot;zł&quot;#,##0.00\)"/>
    <numFmt numFmtId="165" formatCode="_(&quot;zł&quot;* #,##0.00_);_(&quot;zł&quot;* \(#,##0.00\);_(&quot;zł&quot;* &quot;-&quot;??_);_(@_)"/>
    <numFmt numFmtId="166" formatCode="&quot; &quot;#,##0.00&quot;    &quot;;&quot;-&quot;#,##0.00&quot;    &quot;;&quot; -&quot;00&quot;    &quot;;&quot; &quot;@&quot; &quot;"/>
    <numFmt numFmtId="167" formatCode="&quot; &quot;#,##0.000&quot;    &quot;;&quot;-&quot;#,##0.000&quot;    &quot;;&quot; -&quot;00.0&quot;    &quot;;&quot; &quot;@&quot; &quot;"/>
    <numFmt numFmtId="168" formatCode="&quot; &quot;#,##0.000&quot;    &quot;;&quot;-&quot;#,##0.000&quot;    &quot;;&quot; -&quot;00&quot;    &quot;;&quot; &quot;@&quot; &quot;"/>
    <numFmt numFmtId="169" formatCode="0.000"/>
    <numFmt numFmtId="170" formatCode="0.000%"/>
    <numFmt numFmtId="171" formatCode="#,##0.0"/>
    <numFmt numFmtId="172" formatCode="&quot; &quot;#,##0.00&quot;    &quot;;&quot;-&quot;#,##0.00&quot;    &quot;;&quot; -&quot;00.0&quot;    &quot;;&quot; &quot;@&quot; &quot;"/>
    <numFmt numFmtId="173" formatCode="#,##0.00\ [$zł-415];[Red]\-#,##0.00\ [$zł-415]"/>
    <numFmt numFmtId="174" formatCode="&quot; &quot;#,##0.00000&quot;    &quot;;&quot;-&quot;#,##0.00000&quot;    &quot;;&quot; -&quot;00.000&quot;    &quot;;&quot; &quot;@&quot; &quot;"/>
    <numFmt numFmtId="175" formatCode="_-* #,##0.00000\ _z_ł_-;\-* #,##0.00000\ _z_ł_-;_-* &quot;-&quot;??\ _z_ł_-;_-@_-"/>
    <numFmt numFmtId="176" formatCode="0.00000"/>
    <numFmt numFmtId="177" formatCode="0.0"/>
    <numFmt numFmtId="178" formatCode="0.0000"/>
    <numFmt numFmtId="179" formatCode="_-* #,##0.0000\ _z_ł_-;\-* #,##0.0000\ _z_ł_-;_-* &quot;-&quot;??\ _z_ł_-;_-@_-"/>
    <numFmt numFmtId="180" formatCode="0.0%"/>
    <numFmt numFmtId="181" formatCode="_-* #,##0.000\ _z_ł_-;\-* #,##0.000\ _z_ł_-;_-* &quot;-&quot;??\ _z_ł_-;_-@_-"/>
    <numFmt numFmtId="182" formatCode="#,##0.00\ &quot;zł&quot;"/>
    <numFmt numFmtId="183" formatCode="0.0000000"/>
  </numFmts>
  <fonts count="13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indexed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color rgb="FF000000"/>
      <name val="Calibri"/>
      <family val="2"/>
      <charset val="238"/>
      <scheme val="minor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8"/>
      <color theme="3"/>
      <name val="Calibri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name val="Calibri"/>
      <family val="2"/>
      <charset val="238"/>
      <scheme val="major"/>
    </font>
    <font>
      <b/>
      <sz val="10"/>
      <name val="Calibri"/>
      <family val="2"/>
      <charset val="238"/>
      <scheme val="major"/>
    </font>
    <font>
      <b/>
      <sz val="11"/>
      <color theme="1"/>
      <name val="Czcionka tekstu podstawowego"/>
      <charset val="238"/>
    </font>
    <font>
      <b/>
      <sz val="10"/>
      <color theme="0"/>
      <name val="Calibri"/>
      <family val="2"/>
      <charset val="238"/>
      <scheme val="major"/>
    </font>
    <font>
      <b/>
      <sz val="11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vertAlign val="subscript"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b/>
      <sz val="10.5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ajor"/>
    </font>
    <font>
      <sz val="10"/>
      <color theme="0"/>
      <name val="Calibri"/>
      <family val="2"/>
      <charset val="238"/>
      <scheme val="major"/>
    </font>
    <font>
      <b/>
      <sz val="10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b/>
      <sz val="11"/>
      <name val="Calibri"/>
      <family val="2"/>
      <charset val="238"/>
      <scheme val="major"/>
    </font>
    <font>
      <b/>
      <vertAlign val="subscript"/>
      <sz val="10"/>
      <color theme="1"/>
      <name val="Calibri"/>
      <family val="2"/>
      <charset val="238"/>
      <scheme val="major"/>
    </font>
    <font>
      <b/>
      <i/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b/>
      <sz val="11"/>
      <color theme="0"/>
      <name val="Calibri"/>
      <family val="2"/>
      <charset val="238"/>
      <scheme val="major"/>
    </font>
    <font>
      <b/>
      <sz val="10"/>
      <color theme="0"/>
      <name val="Calibri Light"/>
      <family val="2"/>
      <charset val="238"/>
    </font>
    <font>
      <b/>
      <vertAlign val="superscript"/>
      <sz val="10"/>
      <color theme="0"/>
      <name val="Calibri Light"/>
      <family val="2"/>
      <charset val="238"/>
    </font>
    <font>
      <b/>
      <vertAlign val="subscript"/>
      <sz val="10"/>
      <color theme="0"/>
      <name val="Calibri Light"/>
      <family val="2"/>
      <charset val="238"/>
    </font>
    <font>
      <sz val="10"/>
      <color theme="0"/>
      <name val="Calibri Light"/>
      <family val="2"/>
      <charset val="238"/>
    </font>
    <font>
      <b/>
      <sz val="11"/>
      <color theme="0"/>
      <name val="Calibri Light"/>
      <family val="2"/>
      <charset val="238"/>
    </font>
    <font>
      <b/>
      <vertAlign val="superscript"/>
      <sz val="11"/>
      <color theme="0"/>
      <name val="Calibri Light"/>
      <family val="2"/>
      <charset val="238"/>
    </font>
    <font>
      <b/>
      <vertAlign val="subscript"/>
      <sz val="11"/>
      <color theme="0"/>
      <name val="Calibri Light"/>
      <family val="2"/>
      <charset val="238"/>
    </font>
    <font>
      <b/>
      <sz val="12"/>
      <color theme="0"/>
      <name val="Calibri Light"/>
      <family val="2"/>
      <charset val="238"/>
    </font>
    <font>
      <sz val="11"/>
      <color theme="0"/>
      <name val="Calibri"/>
      <family val="2"/>
      <charset val="238"/>
      <scheme val="major"/>
    </font>
    <font>
      <sz val="11"/>
      <name val="Calibri Light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bscript"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b/>
      <sz val="8"/>
      <color rgb="FF000000"/>
      <name val="Calibri Light"/>
      <family val="2"/>
      <charset val="238"/>
    </font>
    <font>
      <b/>
      <sz val="9"/>
      <color rgb="FF000000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b/>
      <vertAlign val="subscript"/>
      <sz val="9"/>
      <color theme="1"/>
      <name val="Calibri Light"/>
      <family val="2"/>
      <charset val="238"/>
    </font>
    <font>
      <sz val="11"/>
      <color theme="0"/>
      <name val="Calibri Light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Calibri"/>
      <family val="2"/>
    </font>
    <font>
      <b/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1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0.5"/>
      <color rgb="FF000000"/>
      <name val="Calibri Light"/>
      <family val="2"/>
      <charset val="238"/>
    </font>
    <font>
      <sz val="10.5"/>
      <color theme="1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indexed="8"/>
      <name val="Arial Narrow"/>
      <family val="2"/>
    </font>
    <font>
      <b/>
      <sz val="12"/>
      <color theme="1"/>
      <name val="Czcionka tekstu podstawowego"/>
      <charset val="238"/>
    </font>
    <font>
      <b/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bscript"/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  <scheme val="major"/>
    </font>
    <font>
      <b/>
      <sz val="10"/>
      <color indexed="8"/>
      <name val="Calibri"/>
      <family val="2"/>
      <charset val="238"/>
      <scheme val="major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79998168889431442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2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999999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AAAAAA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A7EA52"/>
      </right>
      <top/>
      <bottom/>
      <diagonal/>
    </border>
    <border>
      <left style="medium">
        <color rgb="FFA7EA52"/>
      </left>
      <right/>
      <top/>
      <bottom/>
      <diagonal/>
    </border>
  </borders>
  <cellStyleXfs count="85">
    <xf numFmtId="0" fontId="0" fillId="0" borderId="0"/>
    <xf numFmtId="0" fontId="16" fillId="0" borderId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9" fontId="19" fillId="0" borderId="0" applyFont="0" applyFill="0" applyBorder="0" applyAlignment="0" applyProtection="0"/>
    <xf numFmtId="0" fontId="20" fillId="0" borderId="0"/>
    <xf numFmtId="165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73" fontId="37" fillId="0" borderId="0"/>
    <xf numFmtId="0" fontId="38" fillId="0" borderId="0" applyNumberFormat="0" applyFill="0" applyBorder="0" applyAlignment="0" applyProtection="0"/>
    <xf numFmtId="0" fontId="39" fillId="0" borderId="69" applyNumberFormat="0" applyFill="0" applyAlignment="0" applyProtection="0"/>
    <xf numFmtId="0" fontId="40" fillId="0" borderId="70" applyNumberFormat="0" applyFill="0" applyAlignment="0" applyProtection="0"/>
    <xf numFmtId="0" fontId="41" fillId="0" borderId="71" applyNumberFormat="0" applyFill="0" applyAlignment="0" applyProtection="0"/>
    <xf numFmtId="0" fontId="41" fillId="0" borderId="0" applyNumberFormat="0" applyFill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0" applyNumberFormat="0" applyBorder="0" applyAlignment="0" applyProtection="0"/>
    <xf numFmtId="0" fontId="45" fillId="24" borderId="72" applyNumberFormat="0" applyAlignment="0" applyProtection="0"/>
    <xf numFmtId="0" fontId="46" fillId="25" borderId="73" applyNumberFormat="0" applyAlignment="0" applyProtection="0"/>
    <xf numFmtId="0" fontId="47" fillId="25" borderId="72" applyNumberFormat="0" applyAlignment="0" applyProtection="0"/>
    <xf numFmtId="0" fontId="48" fillId="0" borderId="74" applyNumberFormat="0" applyFill="0" applyAlignment="0" applyProtection="0"/>
    <xf numFmtId="0" fontId="49" fillId="26" borderId="75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77" applyNumberFormat="0" applyFill="0" applyAlignment="0" applyProtection="0"/>
    <xf numFmtId="0" fontId="52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52" fillId="51" borderId="0" applyNumberFormat="0" applyBorder="0" applyAlignment="0" applyProtection="0"/>
    <xf numFmtId="0" fontId="53" fillId="0" borderId="0"/>
    <xf numFmtId="0" fontId="9" fillId="27" borderId="76" applyNumberFormat="0" applyFont="0" applyAlignment="0" applyProtection="0"/>
    <xf numFmtId="0" fontId="8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98">
    <xf numFmtId="0" fontId="0" fillId="0" borderId="0" xfId="0"/>
    <xf numFmtId="0" fontId="15" fillId="5" borderId="3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17" fillId="6" borderId="6" xfId="1" applyNumberFormat="1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center" vertical="center"/>
    </xf>
    <xf numFmtId="2" fontId="12" fillId="2" borderId="0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2" fontId="18" fillId="10" borderId="20" xfId="13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9" borderId="16" xfId="0" applyFont="1" applyFill="1" applyBorder="1" applyAlignment="1">
      <alignment vertical="center"/>
    </xf>
    <xf numFmtId="0" fontId="21" fillId="9" borderId="17" xfId="0" applyFont="1" applyFill="1" applyBorder="1" applyAlignment="1">
      <alignment vertical="center"/>
    </xf>
    <xf numFmtId="0" fontId="21" fillId="9" borderId="18" xfId="0" applyFont="1" applyFill="1" applyBorder="1" applyAlignment="1">
      <alignment vertical="center"/>
    </xf>
    <xf numFmtId="43" fontId="12" fillId="2" borderId="0" xfId="0" applyNumberFormat="1" applyFont="1" applyFill="1" applyAlignment="1">
      <alignment vertical="center"/>
    </xf>
    <xf numFmtId="2" fontId="12" fillId="2" borderId="0" xfId="0" applyNumberFormat="1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 applyAlignment="1">
      <alignment vertical="center"/>
    </xf>
    <xf numFmtId="43" fontId="12" fillId="2" borderId="0" xfId="13" applyFont="1" applyFill="1" applyBorder="1" applyAlignment="1">
      <alignment vertical="center"/>
    </xf>
    <xf numFmtId="2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6" fillId="12" borderId="0" xfId="0" applyFont="1" applyFill="1"/>
    <xf numFmtId="0" fontId="25" fillId="12" borderId="0" xfId="0" applyFont="1" applyFill="1" applyAlignment="1">
      <alignment horizontal="center"/>
    </xf>
    <xf numFmtId="2" fontId="25" fillId="12" borderId="0" xfId="0" applyNumberFormat="1" applyFont="1" applyFill="1"/>
    <xf numFmtId="168" fontId="25" fillId="12" borderId="0" xfId="0" applyNumberFormat="1" applyFont="1" applyFill="1"/>
    <xf numFmtId="2" fontId="25" fillId="12" borderId="0" xfId="0" applyNumberFormat="1" applyFont="1" applyFill="1" applyAlignment="1">
      <alignment horizontal="right"/>
    </xf>
    <xf numFmtId="0" fontId="18" fillId="7" borderId="24" xfId="0" applyFont="1" applyFill="1" applyBorder="1" applyAlignment="1">
      <alignment horizontal="center" vertical="center"/>
    </xf>
    <xf numFmtId="0" fontId="25" fillId="14" borderId="34" xfId="0" applyFont="1" applyFill="1" applyBorder="1" applyAlignment="1">
      <alignment horizontal="center" vertical="center"/>
    </xf>
    <xf numFmtId="0" fontId="25" fillId="14" borderId="34" xfId="0" applyFont="1" applyFill="1" applyBorder="1" applyAlignment="1">
      <alignment horizontal="center" vertical="center" wrapText="1"/>
    </xf>
    <xf numFmtId="0" fontId="25" fillId="14" borderId="35" xfId="0" applyFont="1" applyFill="1" applyBorder="1" applyAlignment="1">
      <alignment horizontal="center" vertical="center" wrapText="1"/>
    </xf>
    <xf numFmtId="166" fontId="26" fillId="16" borderId="38" xfId="13" applyNumberFormat="1" applyFont="1" applyFill="1" applyBorder="1" applyAlignment="1">
      <alignment horizontal="center" vertical="center"/>
    </xf>
    <xf numFmtId="166" fontId="26" fillId="16" borderId="39" xfId="13" applyNumberFormat="1" applyFont="1" applyFill="1" applyBorder="1" applyAlignment="1">
      <alignment horizontal="center" vertical="center"/>
    </xf>
    <xf numFmtId="168" fontId="25" fillId="14" borderId="34" xfId="0" applyNumberFormat="1" applyFont="1" applyFill="1" applyBorder="1" applyAlignment="1">
      <alignment horizontal="center" vertical="center" wrapText="1"/>
    </xf>
    <xf numFmtId="166" fontId="28" fillId="17" borderId="38" xfId="13" applyNumberFormat="1" applyFont="1" applyFill="1" applyBorder="1" applyAlignment="1">
      <alignment horizontal="center" vertical="center"/>
    </xf>
    <xf numFmtId="166" fontId="25" fillId="13" borderId="42" xfId="13" applyNumberFormat="1" applyFont="1" applyFill="1" applyBorder="1" applyAlignment="1">
      <alignment horizontal="center" vertical="center"/>
    </xf>
    <xf numFmtId="167" fontId="25" fillId="15" borderId="42" xfId="13" applyNumberFormat="1" applyFont="1" applyFill="1" applyBorder="1" applyAlignment="1">
      <alignment horizontal="center" vertical="center"/>
    </xf>
    <xf numFmtId="166" fontId="25" fillId="13" borderId="43" xfId="13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3" fontId="25" fillId="10" borderId="27" xfId="13" applyNumberFormat="1" applyFont="1" applyFill="1" applyBorder="1" applyAlignment="1">
      <alignment horizontal="center" vertical="center"/>
    </xf>
    <xf numFmtId="1" fontId="25" fillId="10" borderId="28" xfId="13" applyNumberFormat="1" applyFont="1" applyFill="1" applyBorder="1" applyAlignment="1">
      <alignment horizontal="center" vertical="center" wrapText="1"/>
    </xf>
    <xf numFmtId="1" fontId="25" fillId="10" borderId="29" xfId="13" applyNumberFormat="1" applyFont="1" applyFill="1" applyBorder="1" applyAlignment="1">
      <alignment horizontal="center" vertical="center" wrapText="1"/>
    </xf>
    <xf numFmtId="3" fontId="25" fillId="10" borderId="53" xfId="13" applyNumberFormat="1" applyFont="1" applyFill="1" applyBorder="1" applyAlignment="1">
      <alignment horizontal="center" vertical="center" wrapText="1"/>
    </xf>
    <xf numFmtId="3" fontId="25" fillId="10" borderId="33" xfId="13" applyNumberFormat="1" applyFont="1" applyFill="1" applyBorder="1" applyAlignment="1">
      <alignment horizontal="center" vertical="center"/>
    </xf>
    <xf numFmtId="0" fontId="18" fillId="18" borderId="16" xfId="0" applyFont="1" applyFill="1" applyBorder="1" applyAlignment="1">
      <alignment vertical="center"/>
    </xf>
    <xf numFmtId="0" fontId="12" fillId="18" borderId="17" xfId="0" applyFont="1" applyFill="1" applyBorder="1" applyAlignment="1">
      <alignment vertical="center"/>
    </xf>
    <xf numFmtId="0" fontId="12" fillId="18" borderId="18" xfId="0" applyFont="1" applyFill="1" applyBorder="1" applyAlignment="1">
      <alignment vertical="center"/>
    </xf>
    <xf numFmtId="0" fontId="18" fillId="18" borderId="8" xfId="0" applyFont="1" applyFill="1" applyBorder="1" applyAlignment="1">
      <alignment vertical="center"/>
    </xf>
    <xf numFmtId="0" fontId="12" fillId="18" borderId="9" xfId="0" applyFont="1" applyFill="1" applyBorder="1" applyAlignment="1">
      <alignment vertical="center"/>
    </xf>
    <xf numFmtId="0" fontId="18" fillId="18" borderId="7" xfId="0" applyFont="1" applyFill="1" applyBorder="1" applyAlignment="1">
      <alignment vertical="center"/>
    </xf>
    <xf numFmtId="1" fontId="25" fillId="10" borderId="52" xfId="13" applyNumberFormat="1" applyFont="1" applyFill="1" applyBorder="1" applyAlignment="1">
      <alignment horizontal="center" vertical="center" wrapText="1"/>
    </xf>
    <xf numFmtId="3" fontId="25" fillId="10" borderId="21" xfId="13" applyNumberFormat="1" applyFont="1" applyFill="1" applyBorder="1" applyAlignment="1">
      <alignment horizontal="center" vertical="center"/>
    </xf>
    <xf numFmtId="1" fontId="25" fillId="10" borderId="22" xfId="13" applyNumberFormat="1" applyFont="1" applyFill="1" applyBorder="1" applyAlignment="1">
      <alignment horizontal="center" vertical="center" wrapText="1"/>
    </xf>
    <xf numFmtId="3" fontId="26" fillId="8" borderId="60" xfId="13" applyNumberFormat="1" applyFont="1" applyFill="1" applyBorder="1" applyAlignment="1">
      <alignment horizontal="center" vertical="center" wrapText="1"/>
    </xf>
    <xf numFmtId="171" fontId="26" fillId="2" borderId="54" xfId="13" applyNumberFormat="1" applyFont="1" applyFill="1" applyBorder="1" applyAlignment="1">
      <alignment horizontal="center" vertical="center" wrapText="1"/>
    </xf>
    <xf numFmtId="10" fontId="18" fillId="7" borderId="27" xfId="0" applyNumberFormat="1" applyFont="1" applyFill="1" applyBorder="1" applyAlignment="1">
      <alignment horizontal="center" vertical="center" wrapText="1"/>
    </xf>
    <xf numFmtId="10" fontId="18" fillId="7" borderId="63" xfId="0" applyNumberFormat="1" applyFont="1" applyFill="1" applyBorder="1" applyAlignment="1">
      <alignment horizontal="center" vertical="center" wrapText="1"/>
    </xf>
    <xf numFmtId="10" fontId="18" fillId="7" borderId="6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10" fontId="18" fillId="8" borderId="27" xfId="17" applyNumberFormat="1" applyFont="1" applyFill="1" applyBorder="1" applyAlignment="1">
      <alignment horizontal="center" vertical="center" wrapText="1"/>
    </xf>
    <xf numFmtId="10" fontId="18" fillId="8" borderId="63" xfId="17" applyNumberFormat="1" applyFont="1" applyFill="1" applyBorder="1" applyAlignment="1">
      <alignment horizontal="center" vertical="center" wrapText="1"/>
    </xf>
    <xf numFmtId="10" fontId="18" fillId="8" borderId="53" xfId="17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32" fillId="7" borderId="19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43" fontId="18" fillId="7" borderId="20" xfId="0" applyNumberFormat="1" applyFont="1" applyFill="1" applyBorder="1" applyAlignment="1">
      <alignment horizontal="center" vertical="center"/>
    </xf>
    <xf numFmtId="10" fontId="18" fillId="7" borderId="20" xfId="0" applyNumberFormat="1" applyFont="1" applyFill="1" applyBorder="1" applyAlignment="1">
      <alignment horizontal="center"/>
    </xf>
    <xf numFmtId="10" fontId="12" fillId="8" borderId="28" xfId="17" applyNumberFormat="1" applyFont="1" applyFill="1" applyBorder="1" applyAlignment="1">
      <alignment horizontal="center"/>
    </xf>
    <xf numFmtId="43" fontId="12" fillId="8" borderId="28" xfId="0" applyNumberFormat="1" applyFont="1" applyFill="1" applyBorder="1" applyAlignment="1">
      <alignment horizontal="center"/>
    </xf>
    <xf numFmtId="10" fontId="12" fillId="8" borderId="59" xfId="17" applyNumberFormat="1" applyFont="1" applyFill="1" applyBorder="1" applyAlignment="1">
      <alignment horizontal="center"/>
    </xf>
    <xf numFmtId="10" fontId="12" fillId="8" borderId="60" xfId="17" applyNumberFormat="1" applyFont="1" applyFill="1" applyBorder="1" applyAlignment="1">
      <alignment horizontal="center"/>
    </xf>
    <xf numFmtId="0" fontId="18" fillId="18" borderId="19" xfId="0" applyFont="1" applyFill="1" applyBorder="1" applyAlignment="1">
      <alignment vertical="center"/>
    </xf>
    <xf numFmtId="0" fontId="18" fillId="10" borderId="47" xfId="0" applyFont="1" applyFill="1" applyBorder="1" applyAlignment="1">
      <alignment horizontal="center" vertical="center"/>
    </xf>
    <xf numFmtId="0" fontId="18" fillId="10" borderId="49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/>
    </xf>
    <xf numFmtId="0" fontId="28" fillId="11" borderId="46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172" fontId="26" fillId="16" borderId="38" xfId="13" applyNumberFormat="1" applyFont="1" applyFill="1" applyBorder="1" applyAlignment="1">
      <alignment horizontal="center" vertical="center"/>
    </xf>
    <xf numFmtId="166" fontId="28" fillId="16" borderId="38" xfId="13" applyNumberFormat="1" applyFont="1" applyFill="1" applyBorder="1" applyAlignment="1">
      <alignment horizontal="center" vertical="center"/>
    </xf>
    <xf numFmtId="166" fontId="28" fillId="8" borderId="30" xfId="13" applyNumberFormat="1" applyFont="1" applyFill="1" applyBorder="1" applyAlignment="1">
      <alignment horizontal="center" vertical="center"/>
    </xf>
    <xf numFmtId="0" fontId="28" fillId="11" borderId="11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169" fontId="28" fillId="11" borderId="66" xfId="0" applyNumberFormat="1" applyFont="1" applyFill="1" applyBorder="1" applyAlignment="1">
      <alignment horizontal="center" vertical="center"/>
    </xf>
    <xf numFmtId="0" fontId="28" fillId="11" borderId="66" xfId="0" applyFont="1" applyFill="1" applyBorder="1" applyAlignment="1">
      <alignment horizontal="center" vertical="center"/>
    </xf>
    <xf numFmtId="0" fontId="28" fillId="11" borderId="67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vertical="center" wrapText="1"/>
    </xf>
    <xf numFmtId="0" fontId="14" fillId="6" borderId="4" xfId="1" applyFont="1" applyFill="1" applyBorder="1" applyAlignment="1" applyProtection="1">
      <alignment vertical="center" wrapText="1"/>
      <protection locked="0"/>
    </xf>
    <xf numFmtId="0" fontId="34" fillId="18" borderId="19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center" vertical="center" wrapText="1"/>
    </xf>
    <xf numFmtId="169" fontId="28" fillId="11" borderId="67" xfId="0" applyNumberFormat="1" applyFont="1" applyFill="1" applyBorder="1" applyAlignment="1">
      <alignment horizontal="center" vertical="center"/>
    </xf>
    <xf numFmtId="0" fontId="33" fillId="11" borderId="15" xfId="0" applyFont="1" applyFill="1" applyBorder="1" applyAlignment="1">
      <alignment horizontal="center" vertical="center" wrapText="1"/>
    </xf>
    <xf numFmtId="169" fontId="12" fillId="8" borderId="28" xfId="13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71" fontId="26" fillId="8" borderId="60" xfId="13" applyNumberFormat="1" applyFont="1" applyFill="1" applyBorder="1" applyAlignment="1">
      <alignment horizontal="center" vertical="center" wrapText="1"/>
    </xf>
    <xf numFmtId="171" fontId="26" fillId="8" borderId="61" xfId="13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10" fontId="12" fillId="2" borderId="0" xfId="0" applyNumberFormat="1" applyFont="1" applyFill="1" applyAlignment="1">
      <alignment horizontal="center"/>
    </xf>
    <xf numFmtId="0" fontId="55" fillId="53" borderId="60" xfId="69" applyFont="1" applyFill="1" applyBorder="1" applyAlignment="1">
      <alignment horizontal="center" vertical="center" wrapText="1"/>
    </xf>
    <xf numFmtId="0" fontId="55" fillId="7" borderId="60" xfId="69" applyFont="1" applyFill="1" applyBorder="1" applyAlignment="1">
      <alignment horizontal="center" vertical="center" wrapText="1"/>
    </xf>
    <xf numFmtId="0" fontId="56" fillId="8" borderId="47" xfId="0" applyFont="1" applyFill="1" applyBorder="1" applyAlignment="1">
      <alignment horizontal="center" vertical="center"/>
    </xf>
    <xf numFmtId="0" fontId="56" fillId="20" borderId="48" xfId="0" applyFont="1" applyFill="1" applyBorder="1" applyAlignment="1">
      <alignment horizontal="center" vertical="center"/>
    </xf>
    <xf numFmtId="0" fontId="56" fillId="8" borderId="48" xfId="0" applyFont="1" applyFill="1" applyBorder="1" applyAlignment="1">
      <alignment horizontal="center" vertical="center"/>
    </xf>
    <xf numFmtId="0" fontId="56" fillId="8" borderId="49" xfId="0" applyFont="1" applyFill="1" applyBorder="1" applyAlignment="1">
      <alignment horizontal="center" vertical="center"/>
    </xf>
    <xf numFmtId="0" fontId="56" fillId="8" borderId="10" xfId="0" applyFont="1" applyFill="1" applyBorder="1" applyAlignment="1">
      <alignment horizontal="center" vertical="center"/>
    </xf>
    <xf numFmtId="0" fontId="56" fillId="20" borderId="46" xfId="0" applyFont="1" applyFill="1" applyBorder="1" applyAlignment="1">
      <alignment horizontal="center" vertical="center"/>
    </xf>
    <xf numFmtId="0" fontId="56" fillId="8" borderId="46" xfId="0" applyFont="1" applyFill="1" applyBorder="1" applyAlignment="1">
      <alignment horizontal="center" vertical="center"/>
    </xf>
    <xf numFmtId="0" fontId="56" fillId="8" borderId="11" xfId="0" applyFont="1" applyFill="1" applyBorder="1" applyAlignment="1">
      <alignment horizontal="center" vertical="center"/>
    </xf>
    <xf numFmtId="0" fontId="56" fillId="8" borderId="12" xfId="0" applyFont="1" applyFill="1" applyBorder="1" applyAlignment="1">
      <alignment horizontal="center" vertical="center"/>
    </xf>
    <xf numFmtId="0" fontId="56" fillId="8" borderId="81" xfId="0" applyFont="1" applyFill="1" applyBorder="1" applyAlignment="1">
      <alignment horizontal="center" vertical="center"/>
    </xf>
    <xf numFmtId="0" fontId="56" fillId="20" borderId="81" xfId="0" applyFont="1" applyFill="1" applyBorder="1" applyAlignment="1">
      <alignment horizontal="center" vertical="center"/>
    </xf>
    <xf numFmtId="0" fontId="56" fillId="8" borderId="13" xfId="0" applyFont="1" applyFill="1" applyBorder="1" applyAlignment="1">
      <alignment horizontal="center" vertical="center"/>
    </xf>
    <xf numFmtId="0" fontId="57" fillId="20" borderId="5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25" fillId="10" borderId="27" xfId="13" applyNumberFormat="1" applyFont="1" applyFill="1" applyBorder="1" applyAlignment="1">
      <alignment horizontal="center" vertical="center"/>
    </xf>
    <xf numFmtId="3" fontId="25" fillId="10" borderId="53" xfId="13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" fontId="17" fillId="0" borderId="60" xfId="65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10" fontId="12" fillId="2" borderId="0" xfId="0" applyNumberFormat="1" applyFont="1" applyFill="1" applyAlignment="1">
      <alignment vertical="center"/>
    </xf>
    <xf numFmtId="166" fontId="26" fillId="0" borderId="0" xfId="13" applyNumberFormat="1" applyFont="1" applyFill="1" applyBorder="1" applyAlignment="1">
      <alignment horizontal="center" vertical="center"/>
    </xf>
    <xf numFmtId="167" fontId="26" fillId="0" borderId="0" xfId="13" applyNumberFormat="1" applyFont="1" applyFill="1" applyBorder="1" applyAlignment="1">
      <alignment horizontal="center" vertical="center"/>
    </xf>
    <xf numFmtId="166" fontId="28" fillId="0" borderId="0" xfId="13" applyNumberFormat="1" applyFont="1" applyFill="1" applyBorder="1" applyAlignment="1">
      <alignment horizontal="center" vertical="center"/>
    </xf>
    <xf numFmtId="166" fontId="28" fillId="2" borderId="78" xfId="13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>
      <alignment vertical="center"/>
    </xf>
    <xf numFmtId="0" fontId="1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0" fontId="12" fillId="8" borderId="78" xfId="17" applyNumberFormat="1" applyFont="1" applyFill="1" applyBorder="1" applyAlignment="1">
      <alignment horizontal="center"/>
    </xf>
    <xf numFmtId="43" fontId="12" fillId="8" borderId="78" xfId="0" applyNumberFormat="1" applyFont="1" applyFill="1" applyBorder="1" applyAlignment="1">
      <alignment horizontal="center"/>
    </xf>
    <xf numFmtId="174" fontId="26" fillId="16" borderId="38" xfId="13" applyNumberFormat="1" applyFont="1" applyFill="1" applyBorder="1" applyAlignment="1">
      <alignment horizontal="center" vertical="center"/>
    </xf>
    <xf numFmtId="10" fontId="18" fillId="8" borderId="83" xfId="17" applyNumberFormat="1" applyFont="1" applyFill="1" applyBorder="1" applyAlignment="1">
      <alignment horizontal="center" vertical="center" wrapText="1"/>
    </xf>
    <xf numFmtId="10" fontId="12" fillId="8" borderId="84" xfId="17" applyNumberFormat="1" applyFont="1" applyFill="1" applyBorder="1" applyAlignment="1">
      <alignment horizontal="center"/>
    </xf>
    <xf numFmtId="175" fontId="7" fillId="8" borderId="28" xfId="0" applyNumberFormat="1" applyFont="1" applyFill="1" applyBorder="1" applyAlignment="1">
      <alignment horizontal="center"/>
    </xf>
    <xf numFmtId="175" fontId="12" fillId="8" borderId="78" xfId="0" applyNumberFormat="1" applyFont="1" applyFill="1" applyBorder="1" applyAlignment="1">
      <alignment horizontal="center"/>
    </xf>
    <xf numFmtId="175" fontId="7" fillId="8" borderId="78" xfId="0" applyNumberFormat="1" applyFont="1" applyFill="1" applyBorder="1" applyAlignment="1">
      <alignment horizontal="center"/>
    </xf>
    <xf numFmtId="170" fontId="12" fillId="2" borderId="0" xfId="0" applyNumberFormat="1" applyFont="1" applyFill="1" applyAlignment="1">
      <alignment vertical="center"/>
    </xf>
    <xf numFmtId="169" fontId="60" fillId="0" borderId="0" xfId="0" applyNumberFormat="1" applyFont="1"/>
    <xf numFmtId="0" fontId="63" fillId="0" borderId="88" xfId="0" applyFont="1" applyFill="1" applyBorder="1" applyAlignment="1">
      <alignment horizontal="center" vertical="center" wrapText="1"/>
    </xf>
    <xf numFmtId="4" fontId="0" fillId="0" borderId="0" xfId="0" applyNumberFormat="1"/>
    <xf numFmtId="0" fontId="68" fillId="0" borderId="0" xfId="0" applyFont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2" fontId="73" fillId="0" borderId="78" xfId="0" applyNumberFormat="1" applyFont="1" applyBorder="1" applyAlignment="1">
      <alignment horizontal="center" vertical="center" wrapText="1"/>
    </xf>
    <xf numFmtId="2" fontId="65" fillId="0" borderId="78" xfId="0" applyNumberFormat="1" applyFont="1" applyBorder="1" applyAlignment="1">
      <alignment horizontal="center" vertical="center" wrapText="1"/>
    </xf>
    <xf numFmtId="2" fontId="65" fillId="0" borderId="78" xfId="0" applyNumberFormat="1" applyFont="1" applyBorder="1" applyAlignment="1">
      <alignment horizontal="center" vertical="center"/>
    </xf>
    <xf numFmtId="0" fontId="68" fillId="0" borderId="90" xfId="0" applyFont="1" applyBorder="1" applyAlignment="1">
      <alignment horizontal="center" vertical="center" wrapText="1"/>
    </xf>
    <xf numFmtId="0" fontId="68" fillId="0" borderId="82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/>
    </xf>
    <xf numFmtId="0" fontId="62" fillId="0" borderId="78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2" fontId="68" fillId="0" borderId="78" xfId="0" applyNumberFormat="1" applyFont="1" applyBorder="1" applyAlignment="1">
      <alignment horizontal="center" vertical="center"/>
    </xf>
    <xf numFmtId="0" fontId="62" fillId="0" borderId="82" xfId="0" applyFont="1" applyBorder="1" applyAlignment="1">
      <alignment horizontal="center" vertical="center" wrapText="1"/>
    </xf>
    <xf numFmtId="2" fontId="62" fillId="0" borderId="78" xfId="0" applyNumberFormat="1" applyFont="1" applyBorder="1" applyAlignment="1">
      <alignment horizontal="center" vertical="center"/>
    </xf>
    <xf numFmtId="3" fontId="25" fillId="10" borderId="27" xfId="13" applyNumberFormat="1" applyFont="1" applyFill="1" applyBorder="1" applyAlignment="1">
      <alignment horizontal="center" vertical="center"/>
    </xf>
    <xf numFmtId="0" fontId="70" fillId="0" borderId="78" xfId="0" applyFont="1" applyBorder="1" applyAlignment="1">
      <alignment horizontal="center" vertical="center" wrapText="1"/>
    </xf>
    <xf numFmtId="0" fontId="0" fillId="0" borderId="78" xfId="0" applyBorder="1"/>
    <xf numFmtId="2" fontId="71" fillId="0" borderId="78" xfId="0" applyNumberFormat="1" applyFont="1" applyBorder="1" applyAlignment="1">
      <alignment horizontal="center" vertical="center"/>
    </xf>
    <xf numFmtId="0" fontId="70" fillId="0" borderId="78" xfId="0" applyFont="1" applyBorder="1" applyAlignment="1">
      <alignment horizontal="center" vertical="center"/>
    </xf>
    <xf numFmtId="2" fontId="59" fillId="2" borderId="78" xfId="70" applyNumberFormat="1" applyFont="1" applyFill="1" applyBorder="1" applyAlignment="1">
      <alignment horizontal="center" vertical="center"/>
    </xf>
    <xf numFmtId="2" fontId="58" fillId="2" borderId="78" xfId="70" applyNumberFormat="1" applyFont="1" applyFill="1" applyBorder="1" applyAlignment="1">
      <alignment horizontal="center" vertical="center"/>
    </xf>
    <xf numFmtId="0" fontId="65" fillId="0" borderId="78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 wrapText="1"/>
    </xf>
    <xf numFmtId="0" fontId="67" fillId="0" borderId="78" xfId="0" applyFont="1" applyBorder="1" applyAlignment="1">
      <alignment horizontal="center" vertical="center" wrapText="1"/>
    </xf>
    <xf numFmtId="165" fontId="65" fillId="0" borderId="78" xfId="0" applyNumberFormat="1" applyFont="1" applyBorder="1" applyAlignment="1">
      <alignment horizontal="center" vertical="center"/>
    </xf>
    <xf numFmtId="165" fontId="65" fillId="0" borderId="78" xfId="0" applyNumberFormat="1" applyFont="1" applyBorder="1" applyAlignment="1">
      <alignment horizontal="center" vertical="center" wrapText="1"/>
    </xf>
    <xf numFmtId="165" fontId="68" fillId="0" borderId="78" xfId="0" applyNumberFormat="1" applyFont="1" applyBorder="1" applyAlignment="1">
      <alignment horizontal="center" vertical="center" wrapText="1"/>
    </xf>
    <xf numFmtId="0" fontId="68" fillId="0" borderId="0" xfId="0" applyFont="1"/>
    <xf numFmtId="164" fontId="62" fillId="0" borderId="0" xfId="0" applyNumberFormat="1" applyFont="1"/>
    <xf numFmtId="2" fontId="63" fillId="0" borderId="31" xfId="0" applyNumberFormat="1" applyFont="1" applyBorder="1" applyAlignment="1">
      <alignment horizontal="center"/>
    </xf>
    <xf numFmtId="0" fontId="65" fillId="0" borderId="0" xfId="0" applyFont="1" applyAlignment="1">
      <alignment horizontal="center" vertical="center" wrapText="1"/>
    </xf>
    <xf numFmtId="0" fontId="3" fillId="0" borderId="0" xfId="71"/>
    <xf numFmtId="0" fontId="75" fillId="0" borderId="0" xfId="71" applyFont="1"/>
    <xf numFmtId="43" fontId="74" fillId="0" borderId="0" xfId="71" applyNumberFormat="1" applyFont="1"/>
    <xf numFmtId="0" fontId="3" fillId="0" borderId="0" xfId="71" applyAlignment="1">
      <alignment horizontal="center" vertical="center"/>
    </xf>
    <xf numFmtId="43" fontId="74" fillId="0" borderId="28" xfId="71" applyNumberFormat="1" applyFont="1" applyBorder="1" applyAlignment="1">
      <alignment horizontal="center" vertical="center"/>
    </xf>
    <xf numFmtId="10" fontId="74" fillId="0" borderId="29" xfId="71" applyNumberFormat="1" applyFont="1" applyBorder="1" applyAlignment="1">
      <alignment horizontal="center" vertical="center"/>
    </xf>
    <xf numFmtId="43" fontId="74" fillId="0" borderId="27" xfId="7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6" fillId="18" borderId="7" xfId="71" applyFont="1" applyFill="1" applyBorder="1" applyAlignment="1">
      <alignment horizontal="center" vertical="center"/>
    </xf>
    <xf numFmtId="0" fontId="76" fillId="18" borderId="7" xfId="71" applyFont="1" applyFill="1" applyBorder="1" applyAlignment="1">
      <alignment horizontal="center" vertical="center" wrapText="1"/>
    </xf>
    <xf numFmtId="177" fontId="58" fillId="2" borderId="78" xfId="70" applyNumberFormat="1" applyFont="1" applyFill="1" applyBorder="1" applyAlignment="1">
      <alignment horizontal="center" vertical="center"/>
    </xf>
    <xf numFmtId="169" fontId="58" fillId="2" borderId="78" xfId="70" applyNumberFormat="1" applyFont="1" applyFill="1" applyBorder="1" applyAlignment="1">
      <alignment horizontal="center" vertical="center"/>
    </xf>
    <xf numFmtId="169" fontId="71" fillId="0" borderId="78" xfId="0" applyNumberFormat="1" applyFont="1" applyBorder="1" applyAlignment="1">
      <alignment horizontal="center" vertical="center"/>
    </xf>
    <xf numFmtId="176" fontId="71" fillId="0" borderId="78" xfId="0" applyNumberFormat="1" applyFont="1" applyBorder="1" applyAlignment="1">
      <alignment horizontal="center" vertical="center"/>
    </xf>
    <xf numFmtId="2" fontId="69" fillId="0" borderId="78" xfId="0" applyNumberFormat="1" applyFont="1" applyBorder="1" applyAlignment="1">
      <alignment horizontal="center" vertical="center"/>
    </xf>
    <xf numFmtId="2" fontId="69" fillId="0" borderId="89" xfId="0" applyNumberFormat="1" applyFont="1" applyBorder="1" applyAlignment="1">
      <alignment horizontal="center" vertical="center"/>
    </xf>
    <xf numFmtId="169" fontId="69" fillId="0" borderId="89" xfId="0" applyNumberFormat="1" applyFont="1" applyBorder="1" applyAlignment="1">
      <alignment horizontal="center" vertical="center"/>
    </xf>
    <xf numFmtId="0" fontId="3" fillId="0" borderId="0" xfId="71"/>
    <xf numFmtId="0" fontId="74" fillId="0" borderId="32" xfId="71" applyFont="1" applyBorder="1" applyAlignment="1">
      <alignment horizontal="center" vertical="center"/>
    </xf>
    <xf numFmtId="0" fontId="58" fillId="2" borderId="0" xfId="5" applyFont="1" applyFill="1" applyBorder="1" applyAlignment="1">
      <alignment horizontal="center"/>
    </xf>
    <xf numFmtId="2" fontId="58" fillId="2" borderId="24" xfId="15" applyNumberFormat="1" applyFont="1" applyFill="1" applyBorder="1" applyAlignment="1">
      <alignment horizontal="center" vertical="center"/>
    </xf>
    <xf numFmtId="2" fontId="58" fillId="2" borderId="25" xfId="15" applyNumberFormat="1" applyFont="1" applyFill="1" applyBorder="1" applyAlignment="1">
      <alignment horizontal="center" vertical="center"/>
    </xf>
    <xf numFmtId="0" fontId="58" fillId="2" borderId="31" xfId="15" applyNumberFormat="1" applyFont="1" applyFill="1" applyBorder="1" applyAlignment="1">
      <alignment horizontal="center" vertical="center"/>
    </xf>
    <xf numFmtId="2" fontId="58" fillId="2" borderId="26" xfId="15" applyNumberFormat="1" applyFont="1" applyFill="1" applyBorder="1" applyAlignment="1">
      <alignment horizontal="center" vertical="center"/>
    </xf>
    <xf numFmtId="0" fontId="74" fillId="2" borderId="0" xfId="71" applyFont="1" applyFill="1"/>
    <xf numFmtId="2" fontId="58" fillId="2" borderId="21" xfId="15" applyNumberFormat="1" applyFont="1" applyFill="1" applyBorder="1" applyAlignment="1">
      <alignment horizontal="center" vertical="center"/>
    </xf>
    <xf numFmtId="2" fontId="58" fillId="2" borderId="22" xfId="15" applyNumberFormat="1" applyFont="1" applyFill="1" applyBorder="1" applyAlignment="1">
      <alignment horizontal="center" vertical="center"/>
    </xf>
    <xf numFmtId="0" fontId="58" fillId="2" borderId="22" xfId="15" applyNumberFormat="1" applyFont="1" applyFill="1" applyBorder="1" applyAlignment="1">
      <alignment horizontal="center" vertical="center"/>
    </xf>
    <xf numFmtId="2" fontId="58" fillId="2" borderId="23" xfId="15" applyNumberFormat="1" applyFont="1" applyFill="1" applyBorder="1" applyAlignment="1">
      <alignment horizontal="center" vertical="center"/>
    </xf>
    <xf numFmtId="0" fontId="58" fillId="2" borderId="0" xfId="71" applyFont="1" applyFill="1" applyAlignment="1">
      <alignment vertical="center"/>
    </xf>
    <xf numFmtId="0" fontId="74" fillId="0" borderId="60" xfId="71" applyFont="1" applyBorder="1" applyAlignment="1">
      <alignment horizontal="center" vertical="center"/>
    </xf>
    <xf numFmtId="0" fontId="74" fillId="0" borderId="61" xfId="71" applyFont="1" applyBorder="1" applyAlignment="1">
      <alignment horizontal="center" vertical="center"/>
    </xf>
    <xf numFmtId="0" fontId="81" fillId="2" borderId="0" xfId="71" applyFont="1" applyFill="1"/>
    <xf numFmtId="0" fontId="74" fillId="0" borderId="31" xfId="71" applyFont="1" applyBorder="1" applyAlignment="1">
      <alignment horizontal="center" vertical="center"/>
    </xf>
    <xf numFmtId="0" fontId="76" fillId="18" borderId="21" xfId="5" applyFont="1" applyFill="1" applyBorder="1" applyAlignment="1">
      <alignment horizontal="center" vertical="center" wrapText="1"/>
    </xf>
    <xf numFmtId="0" fontId="76" fillId="18" borderId="22" xfId="5" applyFont="1" applyFill="1" applyBorder="1" applyAlignment="1">
      <alignment horizontal="center" vertical="center" wrapText="1"/>
    </xf>
    <xf numFmtId="0" fontId="76" fillId="18" borderId="22" xfId="71" applyFont="1" applyFill="1" applyBorder="1" applyAlignment="1">
      <alignment horizontal="center" vertical="center" wrapText="1"/>
    </xf>
    <xf numFmtId="0" fontId="76" fillId="18" borderId="23" xfId="5" applyFont="1" applyFill="1" applyBorder="1" applyAlignment="1">
      <alignment horizontal="center" vertical="center" wrapText="1"/>
    </xf>
    <xf numFmtId="0" fontId="61" fillId="18" borderId="91" xfId="71" applyFont="1" applyFill="1" applyBorder="1" applyAlignment="1">
      <alignment horizontal="center" vertical="center"/>
    </xf>
    <xf numFmtId="0" fontId="61" fillId="18" borderId="56" xfId="71" applyFont="1" applyFill="1" applyBorder="1" applyAlignment="1">
      <alignment horizontal="center"/>
    </xf>
    <xf numFmtId="4" fontId="80" fillId="18" borderId="7" xfId="5" applyNumberFormat="1" applyFont="1" applyFill="1" applyBorder="1" applyAlignment="1">
      <alignment horizontal="center"/>
    </xf>
    <xf numFmtId="4" fontId="80" fillId="18" borderId="18" xfId="5" applyNumberFormat="1" applyFont="1" applyFill="1" applyBorder="1" applyAlignment="1">
      <alignment horizontal="center"/>
    </xf>
    <xf numFmtId="4" fontId="80" fillId="18" borderId="20" xfId="5" applyNumberFormat="1" applyFont="1" applyFill="1" applyBorder="1" applyAlignment="1">
      <alignment horizontal="center"/>
    </xf>
    <xf numFmtId="0" fontId="86" fillId="18" borderId="82" xfId="0" applyFont="1" applyFill="1" applyBorder="1" applyAlignment="1">
      <alignment horizontal="center" vertical="top" wrapText="1"/>
    </xf>
    <xf numFmtId="0" fontId="83" fillId="18" borderId="78" xfId="0" applyFont="1" applyFill="1" applyBorder="1" applyAlignment="1">
      <alignment horizontal="center" vertical="center" wrapText="1"/>
    </xf>
    <xf numFmtId="0" fontId="3" fillId="0" borderId="0" xfId="71"/>
    <xf numFmtId="2" fontId="74" fillId="0" borderId="78" xfId="71" applyNumberFormat="1" applyFont="1" applyBorder="1" applyAlignment="1">
      <alignment horizontal="center" vertical="center" wrapText="1"/>
    </xf>
    <xf numFmtId="0" fontId="74" fillId="0" borderId="78" xfId="71" applyFont="1" applyBorder="1" applyAlignment="1">
      <alignment horizontal="center" vertical="center" wrapText="1"/>
    </xf>
    <xf numFmtId="1" fontId="74" fillId="0" borderId="78" xfId="71" applyNumberFormat="1" applyFont="1" applyBorder="1" applyAlignment="1">
      <alignment horizontal="center" vertical="center" wrapText="1"/>
    </xf>
    <xf numFmtId="0" fontId="17" fillId="2" borderId="0" xfId="71" applyFont="1" applyFill="1" applyBorder="1" applyAlignment="1">
      <alignment wrapText="1"/>
    </xf>
    <xf numFmtId="1" fontId="74" fillId="0" borderId="0" xfId="71" applyNumberFormat="1" applyFont="1" applyAlignment="1">
      <alignment horizontal="center" vertical="center" wrapText="1"/>
    </xf>
    <xf numFmtId="0" fontId="78" fillId="2" borderId="78" xfId="71" applyFont="1" applyFill="1" applyBorder="1" applyAlignment="1">
      <alignment horizontal="center" vertical="center" wrapText="1"/>
    </xf>
    <xf numFmtId="0" fontId="77" fillId="2" borderId="78" xfId="71" applyFont="1" applyFill="1" applyBorder="1" applyAlignment="1">
      <alignment wrapText="1"/>
    </xf>
    <xf numFmtId="0" fontId="78" fillId="2" borderId="78" xfId="71" applyFont="1" applyFill="1" applyBorder="1" applyAlignment="1">
      <alignment horizontal="center" wrapText="1"/>
    </xf>
    <xf numFmtId="1" fontId="3" fillId="0" borderId="0" xfId="71" applyNumberFormat="1"/>
    <xf numFmtId="0" fontId="3" fillId="0" borderId="0" xfId="71"/>
    <xf numFmtId="2" fontId="74" fillId="0" borderId="78" xfId="71" applyNumberFormat="1" applyFont="1" applyBorder="1" applyAlignment="1">
      <alignment horizontal="center" vertical="center" wrapText="1"/>
    </xf>
    <xf numFmtId="0" fontId="74" fillId="0" borderId="78" xfId="71" applyFont="1" applyBorder="1" applyAlignment="1">
      <alignment horizontal="center" vertical="center" wrapText="1"/>
    </xf>
    <xf numFmtId="1" fontId="74" fillId="0" borderId="78" xfId="71" applyNumberFormat="1" applyFont="1" applyBorder="1" applyAlignment="1">
      <alignment horizontal="center" vertical="center" wrapText="1"/>
    </xf>
    <xf numFmtId="0" fontId="17" fillId="2" borderId="0" xfId="71" applyFont="1" applyFill="1" applyBorder="1" applyAlignment="1">
      <alignment wrapText="1"/>
    </xf>
    <xf numFmtId="1" fontId="74" fillId="0" borderId="0" xfId="71" applyNumberFormat="1" applyFont="1" applyAlignment="1">
      <alignment horizontal="center" vertical="center" wrapText="1"/>
    </xf>
    <xf numFmtId="0" fontId="78" fillId="2" borderId="78" xfId="71" applyFont="1" applyFill="1" applyBorder="1" applyAlignment="1">
      <alignment horizontal="center" vertical="center" wrapText="1"/>
    </xf>
    <xf numFmtId="0" fontId="77" fillId="2" borderId="78" xfId="71" applyFont="1" applyFill="1" applyBorder="1" applyAlignment="1">
      <alignment wrapText="1"/>
    </xf>
    <xf numFmtId="0" fontId="78" fillId="2" borderId="78" xfId="71" applyFont="1" applyFill="1" applyBorder="1" applyAlignment="1">
      <alignment horizontal="center" wrapText="1"/>
    </xf>
    <xf numFmtId="0" fontId="87" fillId="18" borderId="78" xfId="0" applyFont="1" applyFill="1" applyBorder="1" applyAlignment="1">
      <alignment horizontal="center" vertical="center"/>
    </xf>
    <xf numFmtId="0" fontId="87" fillId="18" borderId="78" xfId="0" applyFont="1" applyFill="1" applyBorder="1" applyAlignment="1">
      <alignment horizontal="center" vertical="center" wrapText="1"/>
    </xf>
    <xf numFmtId="0" fontId="61" fillId="18" borderId="78" xfId="71" applyFont="1" applyFill="1" applyBorder="1" applyAlignment="1">
      <alignment horizontal="center" vertical="center" wrapText="1"/>
    </xf>
    <xf numFmtId="2" fontId="61" fillId="18" borderId="78" xfId="71" applyNumberFormat="1" applyFont="1" applyFill="1" applyBorder="1" applyAlignment="1">
      <alignment horizontal="center" vertical="center" wrapText="1"/>
    </xf>
    <xf numFmtId="0" fontId="82" fillId="18" borderId="78" xfId="71" applyFont="1" applyFill="1" applyBorder="1" applyAlignment="1">
      <alignment horizontal="center" vertical="center" wrapText="1"/>
    </xf>
    <xf numFmtId="0" fontId="82" fillId="18" borderId="78" xfId="71" applyFont="1" applyFill="1" applyBorder="1" applyAlignment="1">
      <alignment horizontal="center" wrapText="1"/>
    </xf>
    <xf numFmtId="0" fontId="83" fillId="18" borderId="78" xfId="71" applyFont="1" applyFill="1" applyBorder="1" applyAlignment="1">
      <alignment horizontal="center" vertical="center" wrapText="1"/>
    </xf>
    <xf numFmtId="0" fontId="83" fillId="0" borderId="0" xfId="71" applyFont="1" applyFill="1" applyBorder="1" applyAlignment="1">
      <alignment horizontal="center" vertical="center" wrapText="1"/>
    </xf>
    <xf numFmtId="0" fontId="83" fillId="18" borderId="84" xfId="71" applyFont="1" applyFill="1" applyBorder="1" applyAlignment="1">
      <alignment horizontal="center" vertical="center" wrapText="1"/>
    </xf>
    <xf numFmtId="2" fontId="65" fillId="0" borderId="78" xfId="71" applyNumberFormat="1" applyFont="1" applyBorder="1" applyAlignment="1">
      <alignment horizontal="right" vertical="center" wrapText="1"/>
    </xf>
    <xf numFmtId="0" fontId="65" fillId="0" borderId="78" xfId="71" applyFont="1" applyBorder="1" applyAlignment="1">
      <alignment horizontal="center" vertical="center" wrapText="1"/>
    </xf>
    <xf numFmtId="2" fontId="65" fillId="0" borderId="78" xfId="71" applyNumberFormat="1" applyFont="1" applyBorder="1" applyAlignment="1">
      <alignment horizontal="center" vertical="center" wrapText="1"/>
    </xf>
    <xf numFmtId="0" fontId="65" fillId="0" borderId="0" xfId="71" applyFont="1" applyFill="1" applyBorder="1" applyAlignment="1">
      <alignment horizontal="center" vertical="center" wrapText="1"/>
    </xf>
    <xf numFmtId="0" fontId="83" fillId="18" borderId="78" xfId="71" applyFont="1" applyFill="1" applyBorder="1" applyAlignment="1">
      <alignment wrapText="1"/>
    </xf>
    <xf numFmtId="10" fontId="65" fillId="0" borderId="78" xfId="71" applyNumberFormat="1" applyFont="1" applyBorder="1" applyAlignment="1">
      <alignment wrapText="1"/>
    </xf>
    <xf numFmtId="0" fontId="83" fillId="0" borderId="0" xfId="71" applyFont="1" applyFill="1" applyBorder="1" applyAlignment="1">
      <alignment wrapText="1"/>
    </xf>
    <xf numFmtId="10" fontId="65" fillId="0" borderId="0" xfId="71" applyNumberFormat="1" applyFont="1" applyFill="1" applyBorder="1" applyAlignment="1">
      <alignment wrapText="1"/>
    </xf>
    <xf numFmtId="0" fontId="83" fillId="18" borderId="84" xfId="71" applyFont="1" applyFill="1" applyBorder="1" applyAlignment="1">
      <alignment horizontal="center" vertical="center" wrapText="1"/>
    </xf>
    <xf numFmtId="2" fontId="83" fillId="18" borderId="78" xfId="71" applyNumberFormat="1" applyFont="1" applyFill="1" applyBorder="1" applyAlignment="1">
      <alignment vertical="center" wrapText="1"/>
    </xf>
    <xf numFmtId="0" fontId="83" fillId="18" borderId="89" xfId="71" applyFont="1" applyFill="1" applyBorder="1" applyAlignment="1">
      <alignment vertical="center" wrapText="1"/>
    </xf>
    <xf numFmtId="2" fontId="83" fillId="18" borderId="78" xfId="71" applyNumberFormat="1" applyFont="1" applyFill="1" applyBorder="1" applyAlignment="1">
      <alignment horizontal="center" vertical="center" wrapText="1"/>
    </xf>
    <xf numFmtId="2" fontId="83" fillId="0" borderId="0" xfId="71" applyNumberFormat="1" applyFont="1" applyFill="1" applyBorder="1" applyAlignment="1">
      <alignment horizontal="center" vertical="center" wrapText="1"/>
    </xf>
    <xf numFmtId="0" fontId="83" fillId="2" borderId="0" xfId="71" applyFont="1" applyFill="1" applyBorder="1" applyAlignment="1">
      <alignment wrapText="1"/>
    </xf>
    <xf numFmtId="10" fontId="65" fillId="2" borderId="0" xfId="71" applyNumberFormat="1" applyFont="1" applyFill="1" applyBorder="1" applyAlignment="1">
      <alignment wrapText="1"/>
    </xf>
    <xf numFmtId="0" fontId="65" fillId="0" borderId="0" xfId="0" applyFont="1"/>
    <xf numFmtId="0" fontId="65" fillId="0" borderId="0" xfId="0" applyFont="1" applyFill="1" applyBorder="1"/>
    <xf numFmtId="0" fontId="65" fillId="0" borderId="0" xfId="71" applyFont="1"/>
    <xf numFmtId="0" fontId="65" fillId="0" borderId="0" xfId="71" applyFont="1" applyAlignment="1">
      <alignment horizontal="center" vertical="center"/>
    </xf>
    <xf numFmtId="0" fontId="65" fillId="0" borderId="0" xfId="71" applyFont="1" applyFill="1" applyBorder="1"/>
    <xf numFmtId="1" fontId="65" fillId="0" borderId="0" xfId="71" applyNumberFormat="1" applyFont="1"/>
    <xf numFmtId="0" fontId="65" fillId="2" borderId="0" xfId="71" applyFont="1" applyFill="1"/>
    <xf numFmtId="0" fontId="66" fillId="2" borderId="78" xfId="71" applyFont="1" applyFill="1" applyBorder="1" applyAlignment="1">
      <alignment wrapText="1"/>
    </xf>
    <xf numFmtId="0" fontId="65" fillId="0" borderId="0" xfId="0" applyFont="1" applyAlignment="1">
      <alignment horizontal="center" vertical="center"/>
    </xf>
    <xf numFmtId="2" fontId="73" fillId="0" borderId="78" xfId="0" applyNumberFormat="1" applyFont="1" applyBorder="1" applyAlignment="1">
      <alignment horizontal="center" vertical="center"/>
    </xf>
    <xf numFmtId="0" fontId="56" fillId="8" borderId="100" xfId="0" applyFont="1" applyFill="1" applyBorder="1" applyAlignment="1">
      <alignment horizontal="center" vertical="center"/>
    </xf>
    <xf numFmtId="0" fontId="56" fillId="8" borderId="14" xfId="0" applyFont="1" applyFill="1" applyBorder="1" applyAlignment="1">
      <alignment horizontal="center" vertical="center"/>
    </xf>
    <xf numFmtId="0" fontId="56" fillId="20" borderId="101" xfId="0" applyFont="1" applyFill="1" applyBorder="1" applyAlignment="1">
      <alignment horizontal="center" vertical="center"/>
    </xf>
    <xf numFmtId="0" fontId="56" fillId="8" borderId="101" xfId="0" applyFont="1" applyFill="1" applyBorder="1" applyAlignment="1">
      <alignment horizontal="center" vertical="center"/>
    </xf>
    <xf numFmtId="0" fontId="56" fillId="8" borderId="15" xfId="0" applyFont="1" applyFill="1" applyBorder="1" applyAlignment="1">
      <alignment horizontal="center" vertical="center"/>
    </xf>
    <xf numFmtId="0" fontId="68" fillId="0" borderId="0" xfId="0" applyFont="1" applyAlignment="1">
      <alignment wrapText="1"/>
    </xf>
    <xf numFmtId="43" fontId="2" fillId="8" borderId="28" xfId="0" applyNumberFormat="1" applyFont="1" applyFill="1" applyBorder="1" applyAlignment="1">
      <alignment horizontal="center"/>
    </xf>
    <xf numFmtId="43" fontId="2" fillId="8" borderId="78" xfId="0" applyNumberFormat="1" applyFont="1" applyFill="1" applyBorder="1" applyAlignment="1">
      <alignment horizontal="center"/>
    </xf>
    <xf numFmtId="43" fontId="12" fillId="8" borderId="64" xfId="0" applyNumberFormat="1" applyFont="1" applyFill="1" applyBorder="1" applyAlignment="1">
      <alignment horizontal="center"/>
    </xf>
    <xf numFmtId="10" fontId="18" fillId="7" borderId="53" xfId="0" applyNumberFormat="1" applyFont="1" applyFill="1" applyBorder="1" applyAlignment="1">
      <alignment horizontal="center" vertical="center" wrapText="1"/>
    </xf>
    <xf numFmtId="43" fontId="12" fillId="8" borderId="60" xfId="0" applyNumberFormat="1" applyFont="1" applyFill="1" applyBorder="1" applyAlignment="1">
      <alignment horizontal="center"/>
    </xf>
    <xf numFmtId="43" fontId="7" fillId="8" borderId="29" xfId="0" applyNumberFormat="1" applyFont="1" applyFill="1" applyBorder="1" applyAlignment="1">
      <alignment horizontal="center"/>
    </xf>
    <xf numFmtId="43" fontId="2" fillId="8" borderId="60" xfId="0" applyNumberFormat="1" applyFont="1" applyFill="1" applyBorder="1" applyAlignment="1">
      <alignment horizontal="center"/>
    </xf>
    <xf numFmtId="0" fontId="0" fillId="0" borderId="0" xfId="0"/>
    <xf numFmtId="2" fontId="0" fillId="0" borderId="0" xfId="0" applyNumberFormat="1"/>
    <xf numFmtId="2" fontId="4" fillId="8" borderId="60" xfId="0" applyNumberFormat="1" applyFont="1" applyFill="1" applyBorder="1" applyAlignment="1">
      <alignment horizontal="center"/>
    </xf>
    <xf numFmtId="2" fontId="4" fillId="8" borderId="61" xfId="0" applyNumberFormat="1" applyFont="1" applyFill="1" applyBorder="1" applyAlignment="1">
      <alignment horizontal="center"/>
    </xf>
    <xf numFmtId="43" fontId="74" fillId="0" borderId="105" xfId="71" applyNumberFormat="1" applyFont="1" applyBorder="1" applyAlignment="1">
      <alignment horizontal="center" vertical="center"/>
    </xf>
    <xf numFmtId="0" fontId="76" fillId="18" borderId="17" xfId="71" applyFont="1" applyFill="1" applyBorder="1" applyAlignment="1">
      <alignment horizontal="center" vertical="center" wrapText="1"/>
    </xf>
    <xf numFmtId="0" fontId="76" fillId="18" borderId="16" xfId="71" applyFont="1" applyFill="1" applyBorder="1" applyAlignment="1">
      <alignment horizontal="center" vertical="center" wrapText="1"/>
    </xf>
    <xf numFmtId="0" fontId="76" fillId="18" borderId="98" xfId="71" applyFont="1" applyFill="1" applyBorder="1" applyAlignment="1">
      <alignment horizontal="center" vertical="center" wrapText="1"/>
    </xf>
    <xf numFmtId="0" fontId="76" fillId="18" borderId="116" xfId="71" applyFont="1" applyFill="1" applyBorder="1" applyAlignment="1">
      <alignment horizontal="center" vertical="center" wrapText="1"/>
    </xf>
    <xf numFmtId="0" fontId="76" fillId="18" borderId="110" xfId="71" applyFont="1" applyFill="1" applyBorder="1" applyAlignment="1">
      <alignment horizontal="center" vertical="center" wrapText="1"/>
    </xf>
    <xf numFmtId="43" fontId="74" fillId="0" borderId="107" xfId="71" applyNumberFormat="1" applyFont="1" applyBorder="1" applyAlignment="1">
      <alignment horizontal="center" vertical="center"/>
    </xf>
    <xf numFmtId="10" fontId="74" fillId="0" borderId="106" xfId="71" applyNumberFormat="1" applyFont="1" applyBorder="1" applyAlignment="1">
      <alignment horizontal="center" vertical="center"/>
    </xf>
    <xf numFmtId="10" fontId="74" fillId="0" borderId="102" xfId="71" applyNumberFormat="1" applyFont="1" applyBorder="1" applyAlignment="1">
      <alignment horizontal="right" vertical="center"/>
    </xf>
    <xf numFmtId="10" fontId="74" fillId="0" borderId="103" xfId="71" applyNumberFormat="1" applyFont="1" applyBorder="1" applyAlignment="1">
      <alignment horizontal="right" vertical="center"/>
    </xf>
    <xf numFmtId="10" fontId="74" fillId="0" borderId="104" xfId="71" applyNumberFormat="1" applyFont="1" applyBorder="1" applyAlignment="1">
      <alignment horizontal="center" vertical="center"/>
    </xf>
    <xf numFmtId="0" fontId="76" fillId="18" borderId="27" xfId="71" applyFont="1" applyFill="1" applyBorder="1" applyAlignment="1">
      <alignment horizontal="center" vertical="center" wrapText="1"/>
    </xf>
    <xf numFmtId="2" fontId="74" fillId="0" borderId="29" xfId="71" applyNumberFormat="1" applyFont="1" applyBorder="1" applyAlignment="1">
      <alignment horizontal="center" vertical="center"/>
    </xf>
    <xf numFmtId="0" fontId="76" fillId="18" borderId="107" xfId="71" applyFont="1" applyFill="1" applyBorder="1" applyAlignment="1">
      <alignment horizontal="center" vertical="center" wrapText="1"/>
    </xf>
    <xf numFmtId="2" fontId="74" fillId="0" borderId="106" xfId="71" applyNumberFormat="1" applyFont="1" applyBorder="1" applyAlignment="1">
      <alignment horizontal="center" vertical="center"/>
    </xf>
    <xf numFmtId="0" fontId="76" fillId="18" borderId="102" xfId="71" applyFont="1" applyFill="1" applyBorder="1" applyAlignment="1">
      <alignment horizontal="center" vertical="center" wrapText="1"/>
    </xf>
    <xf numFmtId="2" fontId="74" fillId="0" borderId="104" xfId="71" applyNumberFormat="1" applyFont="1" applyBorder="1" applyAlignment="1">
      <alignment horizontal="center" vertical="center"/>
    </xf>
    <xf numFmtId="2" fontId="63" fillId="0" borderId="78" xfId="0" applyNumberFormat="1" applyFont="1" applyBorder="1" applyAlignment="1">
      <alignment horizontal="center" vertical="center" wrapText="1"/>
    </xf>
    <xf numFmtId="2" fontId="65" fillId="0" borderId="0" xfId="0" applyNumberFormat="1" applyFont="1" applyFill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0" fontId="68" fillId="0" borderId="52" xfId="0" applyFont="1" applyBorder="1" applyAlignment="1">
      <alignment horizontal="center" vertical="center" wrapText="1"/>
    </xf>
    <xf numFmtId="0" fontId="68" fillId="0" borderId="107" xfId="0" applyFont="1" applyBorder="1" applyAlignment="1">
      <alignment horizontal="center" vertical="center" wrapText="1"/>
    </xf>
    <xf numFmtId="0" fontId="68" fillId="0" borderId="105" xfId="0" applyFont="1" applyBorder="1" applyAlignment="1">
      <alignment horizontal="center" vertical="center" wrapText="1"/>
    </xf>
    <xf numFmtId="0" fontId="68" fillId="0" borderId="111" xfId="0" applyFont="1" applyBorder="1" applyAlignment="1">
      <alignment horizontal="center" vertical="center" wrapText="1"/>
    </xf>
    <xf numFmtId="0" fontId="68" fillId="0" borderId="102" xfId="0" applyFont="1" applyBorder="1" applyAlignment="1">
      <alignment horizontal="center" vertical="center" wrapText="1"/>
    </xf>
    <xf numFmtId="0" fontId="68" fillId="0" borderId="103" xfId="0" applyFont="1" applyBorder="1" applyAlignment="1">
      <alignment horizontal="center" vertical="center" wrapText="1"/>
    </xf>
    <xf numFmtId="0" fontId="68" fillId="0" borderId="114" xfId="0" applyFont="1" applyBorder="1" applyAlignment="1">
      <alignment horizontal="center" vertical="center" wrapText="1"/>
    </xf>
    <xf numFmtId="0" fontId="2" fillId="0" borderId="0" xfId="76"/>
    <xf numFmtId="0" fontId="93" fillId="0" borderId="19" xfId="76" applyFont="1" applyBorder="1" applyAlignment="1">
      <alignment horizontal="center" vertical="center" wrapText="1"/>
    </xf>
    <xf numFmtId="0" fontId="93" fillId="0" borderId="8" xfId="76" applyFont="1" applyBorder="1" applyAlignment="1">
      <alignment horizontal="center" vertical="center" wrapText="1"/>
    </xf>
    <xf numFmtId="0" fontId="96" fillId="0" borderId="56" xfId="76" applyFont="1" applyBorder="1" applyAlignment="1">
      <alignment horizontal="center" vertical="center" wrapText="1"/>
    </xf>
    <xf numFmtId="0" fontId="96" fillId="0" borderId="20" xfId="76" applyFont="1" applyBorder="1" applyAlignment="1">
      <alignment horizontal="center" vertical="center" wrapText="1"/>
    </xf>
    <xf numFmtId="0" fontId="97" fillId="0" borderId="99" xfId="76" applyFont="1" applyBorder="1" applyAlignment="1">
      <alignment horizontal="center" vertical="center"/>
    </xf>
    <xf numFmtId="0" fontId="97" fillId="0" borderId="57" xfId="76" applyFont="1" applyBorder="1" applyAlignment="1">
      <alignment horizontal="center" vertical="center"/>
    </xf>
    <xf numFmtId="0" fontId="2" fillId="0" borderId="20" xfId="76" applyBorder="1" applyAlignment="1">
      <alignment vertical="center"/>
    </xf>
    <xf numFmtId="0" fontId="2" fillId="0" borderId="57" xfId="76" applyBorder="1" applyAlignment="1">
      <alignment vertical="center"/>
    </xf>
    <xf numFmtId="0" fontId="98" fillId="0" borderId="57" xfId="76" applyFont="1" applyBorder="1" applyAlignment="1">
      <alignment horizontal="center" vertical="center" wrapText="1"/>
    </xf>
    <xf numFmtId="0" fontId="2" fillId="0" borderId="57" xfId="76" applyBorder="1" applyAlignment="1">
      <alignment vertical="center" wrapText="1"/>
    </xf>
    <xf numFmtId="2" fontId="93" fillId="52" borderId="57" xfId="76" applyNumberFormat="1" applyFont="1" applyFill="1" applyBorder="1" applyAlignment="1">
      <alignment horizontal="center" vertical="center" wrapText="1"/>
    </xf>
    <xf numFmtId="2" fontId="2" fillId="0" borderId="57" xfId="76" applyNumberFormat="1" applyBorder="1" applyAlignment="1">
      <alignment vertical="center"/>
    </xf>
    <xf numFmtId="2" fontId="93" fillId="52" borderId="9" xfId="76" applyNumberFormat="1" applyFont="1" applyFill="1" applyBorder="1" applyAlignment="1">
      <alignment horizontal="center" vertical="center" wrapText="1"/>
    </xf>
    <xf numFmtId="2" fontId="96" fillId="52" borderId="20" xfId="76" applyNumberFormat="1" applyFont="1" applyFill="1" applyBorder="1" applyAlignment="1">
      <alignment horizontal="center" vertical="center" wrapText="1"/>
    </xf>
    <xf numFmtId="2" fontId="96" fillId="52" borderId="57" xfId="76" applyNumberFormat="1" applyFont="1" applyFill="1" applyBorder="1" applyAlignment="1">
      <alignment horizontal="center" vertical="center" wrapText="1"/>
    </xf>
    <xf numFmtId="2" fontId="93" fillId="52" borderId="20" xfId="76" applyNumberFormat="1" applyFont="1" applyFill="1" applyBorder="1" applyAlignment="1">
      <alignment horizontal="center" vertical="center" wrapText="1"/>
    </xf>
    <xf numFmtId="2" fontId="18" fillId="0" borderId="109" xfId="76" applyNumberFormat="1" applyFont="1" applyBorder="1" applyAlignment="1">
      <alignment horizontal="center" vertical="center"/>
    </xf>
    <xf numFmtId="2" fontId="18" fillId="0" borderId="7" xfId="76" applyNumberFormat="1" applyFont="1" applyBorder="1" applyAlignment="1">
      <alignment horizontal="center" vertical="center"/>
    </xf>
    <xf numFmtId="2" fontId="93" fillId="52" borderId="57" xfId="76" applyNumberFormat="1" applyFont="1" applyFill="1" applyBorder="1" applyAlignment="1">
      <alignment horizontal="center" vertical="center" wrapText="1"/>
    </xf>
    <xf numFmtId="0" fontId="72" fillId="0" borderId="7" xfId="76" applyFont="1" applyBorder="1" applyAlignment="1">
      <alignment horizontal="center" vertical="center" wrapText="1"/>
    </xf>
    <xf numFmtId="0" fontId="72" fillId="0" borderId="18" xfId="76" applyFont="1" applyBorder="1" applyAlignment="1">
      <alignment horizontal="center" vertical="center" wrapText="1"/>
    </xf>
    <xf numFmtId="0" fontId="101" fillId="0" borderId="20" xfId="76" applyFont="1" applyBorder="1" applyAlignment="1">
      <alignment horizontal="center" vertical="center"/>
    </xf>
    <xf numFmtId="0" fontId="101" fillId="0" borderId="57" xfId="76" applyFont="1" applyBorder="1" applyAlignment="1">
      <alignment horizontal="center" vertical="center"/>
    </xf>
    <xf numFmtId="0" fontId="101" fillId="0" borderId="57" xfId="76" applyFont="1" applyBorder="1" applyAlignment="1">
      <alignment horizontal="center" vertical="center" wrapText="1"/>
    </xf>
    <xf numFmtId="0" fontId="68" fillId="58" borderId="20" xfId="76" applyFont="1" applyFill="1" applyBorder="1" applyAlignment="1">
      <alignment horizontal="center" vertical="center"/>
    </xf>
    <xf numFmtId="10" fontId="68" fillId="0" borderId="57" xfId="76" applyNumberFormat="1" applyFont="1" applyBorder="1" applyAlignment="1">
      <alignment horizontal="center" vertical="center"/>
    </xf>
    <xf numFmtId="0" fontId="65" fillId="0" borderId="57" xfId="76" applyFont="1" applyBorder="1" applyAlignment="1">
      <alignment horizontal="center" vertical="center" wrapText="1"/>
    </xf>
    <xf numFmtId="2" fontId="68" fillId="0" borderId="57" xfId="76" applyNumberFormat="1" applyFont="1" applyBorder="1" applyAlignment="1">
      <alignment horizontal="center" vertical="center"/>
    </xf>
    <xf numFmtId="0" fontId="102" fillId="0" borderId="9" xfId="76" applyFont="1" applyBorder="1" applyAlignment="1">
      <alignment horizontal="center" vertical="center" wrapText="1"/>
    </xf>
    <xf numFmtId="0" fontId="102" fillId="0" borderId="8" xfId="76" applyFont="1" applyBorder="1" applyAlignment="1">
      <alignment horizontal="center" vertical="center" wrapText="1"/>
    </xf>
    <xf numFmtId="0" fontId="102" fillId="0" borderId="19" xfId="76" applyFont="1" applyBorder="1" applyAlignment="1">
      <alignment horizontal="center" vertical="center" wrapText="1"/>
    </xf>
    <xf numFmtId="0" fontId="102" fillId="0" borderId="57" xfId="76" applyFont="1" applyBorder="1" applyAlignment="1">
      <alignment horizontal="center" vertical="center" wrapText="1"/>
    </xf>
    <xf numFmtId="0" fontId="102" fillId="0" borderId="56" xfId="76" applyFont="1" applyBorder="1" applyAlignment="1">
      <alignment horizontal="center" vertical="center" wrapText="1"/>
    </xf>
    <xf numFmtId="0" fontId="102" fillId="0" borderId="20" xfId="76" applyFont="1" applyBorder="1" applyAlignment="1">
      <alignment horizontal="center" vertical="center" wrapText="1"/>
    </xf>
    <xf numFmtId="0" fontId="101" fillId="0" borderId="109" xfId="76" applyFont="1" applyBorder="1" applyAlignment="1">
      <alignment horizontal="center" vertical="center"/>
    </xf>
    <xf numFmtId="0" fontId="68" fillId="57" borderId="57" xfId="76" applyFont="1" applyFill="1" applyBorder="1" applyAlignment="1">
      <alignment horizontal="center" vertical="center"/>
    </xf>
    <xf numFmtId="0" fontId="102" fillId="0" borderId="7" xfId="76" applyFont="1" applyBorder="1" applyAlignment="1">
      <alignment horizontal="center" vertical="center" wrapText="1"/>
    </xf>
    <xf numFmtId="0" fontId="102" fillId="0" borderId="18" xfId="76" applyFont="1" applyBorder="1" applyAlignment="1">
      <alignment horizontal="center" vertical="center" wrapText="1"/>
    </xf>
    <xf numFmtId="0" fontId="92" fillId="58" borderId="20" xfId="76" applyFont="1" applyFill="1" applyBorder="1" applyAlignment="1">
      <alignment horizontal="center" vertical="center"/>
    </xf>
    <xf numFmtId="10" fontId="68" fillId="57" borderId="57" xfId="76" applyNumberFormat="1" applyFont="1" applyFill="1" applyBorder="1" applyAlignment="1">
      <alignment horizontal="center" vertical="center"/>
    </xf>
    <xf numFmtId="0" fontId="65" fillId="57" borderId="57" xfId="76" applyFont="1" applyFill="1" applyBorder="1" applyAlignment="1">
      <alignment horizontal="center" vertical="center" wrapText="1"/>
    </xf>
    <xf numFmtId="0" fontId="102" fillId="0" borderId="80" xfId="76" applyFont="1" applyBorder="1" applyAlignment="1">
      <alignment horizontal="center" vertical="center" wrapText="1"/>
    </xf>
    <xf numFmtId="2" fontId="102" fillId="8" borderId="20" xfId="76" applyNumberFormat="1" applyFont="1" applyFill="1" applyBorder="1" applyAlignment="1">
      <alignment horizontal="center" vertical="center" wrapText="1"/>
    </xf>
    <xf numFmtId="2" fontId="102" fillId="8" borderId="57" xfId="76" applyNumberFormat="1" applyFont="1" applyFill="1" applyBorder="1" applyAlignment="1">
      <alignment horizontal="center" vertical="center" wrapText="1"/>
    </xf>
    <xf numFmtId="169" fontId="102" fillId="8" borderId="57" xfId="76" applyNumberFormat="1" applyFont="1" applyFill="1" applyBorder="1" applyAlignment="1">
      <alignment horizontal="center" vertical="center" wrapText="1"/>
    </xf>
    <xf numFmtId="177" fontId="102" fillId="8" borderId="57" xfId="76" applyNumberFormat="1" applyFont="1" applyFill="1" applyBorder="1" applyAlignment="1">
      <alignment horizontal="center" vertical="center" wrapText="1"/>
    </xf>
    <xf numFmtId="178" fontId="102" fillId="8" borderId="57" xfId="76" applyNumberFormat="1" applyFont="1" applyFill="1" applyBorder="1" applyAlignment="1">
      <alignment horizontal="center" vertical="center" wrapText="1"/>
    </xf>
    <xf numFmtId="2" fontId="102" fillId="8" borderId="7" xfId="76" applyNumberFormat="1" applyFont="1" applyFill="1" applyBorder="1" applyAlignment="1">
      <alignment horizontal="center" vertical="center" wrapText="1"/>
    </xf>
    <xf numFmtId="2" fontId="102" fillId="8" borderId="80" xfId="76" applyNumberFormat="1" applyFont="1" applyFill="1" applyBorder="1" applyAlignment="1">
      <alignment horizontal="center" vertical="center" wrapText="1"/>
    </xf>
    <xf numFmtId="0" fontId="86" fillId="2" borderId="0" xfId="76" applyFont="1" applyFill="1" applyBorder="1" applyAlignment="1">
      <alignment horizontal="center" vertical="center" wrapText="1"/>
    </xf>
    <xf numFmtId="0" fontId="72" fillId="52" borderId="19" xfId="76" applyFont="1" applyFill="1" applyBorder="1" applyAlignment="1">
      <alignment horizontal="center" vertical="center" wrapText="1"/>
    </xf>
    <xf numFmtId="0" fontId="72" fillId="52" borderId="20" xfId="76" applyFont="1" applyFill="1" applyBorder="1" applyAlignment="1">
      <alignment horizontal="center" vertical="center" wrapText="1"/>
    </xf>
    <xf numFmtId="0" fontId="102" fillId="52" borderId="20" xfId="76" applyFont="1" applyFill="1" applyBorder="1" applyAlignment="1">
      <alignment horizontal="center" vertical="center" wrapText="1"/>
    </xf>
    <xf numFmtId="0" fontId="102" fillId="52" borderId="57" xfId="76" applyFont="1" applyFill="1" applyBorder="1" applyAlignment="1">
      <alignment horizontal="center" vertical="center" wrapText="1"/>
    </xf>
    <xf numFmtId="0" fontId="73" fillId="52" borderId="20" xfId="76" applyFont="1" applyFill="1" applyBorder="1" applyAlignment="1">
      <alignment horizontal="center" vertical="center" wrapText="1"/>
    </xf>
    <xf numFmtId="2" fontId="72" fillId="52" borderId="57" xfId="76" applyNumberFormat="1" applyFont="1" applyFill="1" applyBorder="1" applyAlignment="1">
      <alignment horizontal="center" vertical="center" wrapText="1"/>
    </xf>
    <xf numFmtId="0" fontId="105" fillId="2" borderId="0" xfId="76" applyFont="1" applyFill="1" applyBorder="1" applyAlignment="1">
      <alignment horizontal="center" vertical="center"/>
    </xf>
    <xf numFmtId="0" fontId="92" fillId="2" borderId="0" xfId="76" applyFont="1" applyFill="1" applyBorder="1" applyAlignment="1">
      <alignment horizontal="center" vertical="center"/>
    </xf>
    <xf numFmtId="0" fontId="105" fillId="2" borderId="0" xfId="76" applyFont="1" applyFill="1" applyBorder="1" applyAlignment="1">
      <alignment horizontal="center" vertical="center" wrapText="1"/>
    </xf>
    <xf numFmtId="2" fontId="92" fillId="2" borderId="0" xfId="76" applyNumberFormat="1" applyFont="1" applyFill="1" applyBorder="1" applyAlignment="1">
      <alignment horizontal="center" vertical="center"/>
    </xf>
    <xf numFmtId="0" fontId="68" fillId="0" borderId="0" xfId="76" applyFont="1" applyAlignment="1">
      <alignment horizontal="center" vertical="center"/>
    </xf>
    <xf numFmtId="0" fontId="68" fillId="0" borderId="0" xfId="76" applyFont="1" applyBorder="1" applyAlignment="1">
      <alignment horizontal="center" vertical="center" wrapText="1"/>
    </xf>
    <xf numFmtId="0" fontId="62" fillId="0" borderId="109" xfId="76" applyFont="1" applyBorder="1" applyAlignment="1">
      <alignment horizontal="center" vertical="center"/>
    </xf>
    <xf numFmtId="2" fontId="62" fillId="0" borderId="7" xfId="76" applyNumberFormat="1" applyFont="1" applyBorder="1" applyAlignment="1">
      <alignment horizontal="center" vertical="center"/>
    </xf>
    <xf numFmtId="0" fontId="62" fillId="57" borderId="18" xfId="76" applyFont="1" applyFill="1" applyBorder="1" applyAlignment="1">
      <alignment horizontal="center" vertical="center"/>
    </xf>
    <xf numFmtId="0" fontId="62" fillId="57" borderId="57" xfId="76" applyFont="1" applyFill="1" applyBorder="1" applyAlignment="1">
      <alignment horizontal="center" vertical="center"/>
    </xf>
    <xf numFmtId="2" fontId="63" fillId="57" borderId="57" xfId="76" applyNumberFormat="1" applyFont="1" applyFill="1" applyBorder="1" applyAlignment="1">
      <alignment horizontal="center" vertical="center" wrapText="1"/>
    </xf>
    <xf numFmtId="0" fontId="62" fillId="57" borderId="57" xfId="76" applyFont="1" applyFill="1" applyBorder="1" applyAlignment="1">
      <alignment horizontal="center" vertical="center" wrapText="1"/>
    </xf>
    <xf numFmtId="2" fontId="62" fillId="57" borderId="57" xfId="76" applyNumberFormat="1" applyFont="1" applyFill="1" applyBorder="1" applyAlignment="1">
      <alignment horizontal="center" vertical="center"/>
    </xf>
    <xf numFmtId="2" fontId="62" fillId="8" borderId="57" xfId="76" applyNumberFormat="1" applyFont="1" applyFill="1" applyBorder="1" applyAlignment="1">
      <alignment horizontal="center" vertical="center"/>
    </xf>
    <xf numFmtId="178" fontId="102" fillId="8" borderId="7" xfId="76" applyNumberFormat="1" applyFont="1" applyFill="1" applyBorder="1" applyAlignment="1">
      <alignment horizontal="center" vertical="center" wrapText="1"/>
    </xf>
    <xf numFmtId="2" fontId="65" fillId="2" borderId="78" xfId="0" applyNumberFormat="1" applyFont="1" applyFill="1" applyBorder="1" applyAlignment="1">
      <alignment horizontal="center" vertical="center" wrapText="1"/>
    </xf>
    <xf numFmtId="3" fontId="25" fillId="10" borderId="102" xfId="13" applyNumberFormat="1" applyFont="1" applyFill="1" applyBorder="1" applyAlignment="1">
      <alignment horizontal="center" vertical="center" wrapText="1"/>
    </xf>
    <xf numFmtId="3" fontId="54" fillId="52" borderId="117" xfId="0" applyNumberFormat="1" applyFont="1" applyFill="1" applyBorder="1" applyAlignment="1">
      <alignment horizontal="right" vertical="center"/>
    </xf>
    <xf numFmtId="0" fontId="54" fillId="52" borderId="118" xfId="0" applyFont="1" applyFill="1" applyBorder="1" applyAlignment="1">
      <alignment horizontal="right" vertical="center"/>
    </xf>
    <xf numFmtId="0" fontId="68" fillId="0" borderId="29" xfId="0" applyFont="1" applyBorder="1" applyAlignment="1">
      <alignment horizontal="center" vertical="center" wrapText="1"/>
    </xf>
    <xf numFmtId="2" fontId="68" fillId="0" borderId="106" xfId="0" applyNumberFormat="1" applyFont="1" applyBorder="1" applyAlignment="1">
      <alignment horizontal="center" vertical="center" wrapText="1"/>
    </xf>
    <xf numFmtId="2" fontId="68" fillId="0" borderId="104" xfId="0" applyNumberFormat="1" applyFont="1" applyBorder="1" applyAlignment="1">
      <alignment horizontal="center" vertical="center" wrapText="1"/>
    </xf>
    <xf numFmtId="0" fontId="68" fillId="0" borderId="106" xfId="0" applyFont="1" applyBorder="1" applyAlignment="1">
      <alignment horizontal="center" vertical="center" wrapText="1"/>
    </xf>
    <xf numFmtId="0" fontId="18" fillId="10" borderId="24" xfId="0" applyFont="1" applyFill="1" applyBorder="1" applyAlignment="1">
      <alignment vertical="center" wrapText="1"/>
    </xf>
    <xf numFmtId="0" fontId="18" fillId="10" borderId="25" xfId="0" applyFont="1" applyFill="1" applyBorder="1" applyAlignment="1">
      <alignment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vertical="center" wrapText="1"/>
    </xf>
    <xf numFmtId="1" fontId="12" fillId="2" borderId="105" xfId="0" applyNumberFormat="1" applyFont="1" applyFill="1" applyBorder="1" applyAlignment="1">
      <alignment horizontal="center" vertical="center"/>
    </xf>
    <xf numFmtId="2" fontId="12" fillId="2" borderId="105" xfId="0" applyNumberFormat="1" applyFont="1" applyFill="1" applyBorder="1" applyAlignment="1">
      <alignment horizontal="center" vertical="center"/>
    </xf>
    <xf numFmtId="2" fontId="18" fillId="8" borderId="27" xfId="0" applyNumberFormat="1" applyFont="1" applyFill="1" applyBorder="1" applyAlignment="1">
      <alignment horizontal="center" vertical="center"/>
    </xf>
    <xf numFmtId="1" fontId="12" fillId="2" borderId="28" xfId="0" applyNumberFormat="1" applyFont="1" applyFill="1" applyBorder="1" applyAlignment="1">
      <alignment horizontal="center" vertical="center"/>
    </xf>
    <xf numFmtId="2" fontId="12" fillId="2" borderId="28" xfId="0" applyNumberFormat="1" applyFont="1" applyFill="1" applyBorder="1" applyAlignment="1">
      <alignment horizontal="center" vertical="center"/>
    </xf>
    <xf numFmtId="2" fontId="12" fillId="8" borderId="29" xfId="13" applyNumberFormat="1" applyFont="1" applyFill="1" applyBorder="1" applyAlignment="1">
      <alignment horizontal="center" vertical="center"/>
    </xf>
    <xf numFmtId="2" fontId="18" fillId="8" borderId="107" xfId="0" applyNumberFormat="1" applyFont="1" applyFill="1" applyBorder="1" applyAlignment="1">
      <alignment horizontal="center" vertical="center"/>
    </xf>
    <xf numFmtId="2" fontId="12" fillId="8" borderId="106" xfId="13" applyNumberFormat="1" applyFont="1" applyFill="1" applyBorder="1" applyAlignment="1">
      <alignment horizontal="center" vertical="center"/>
    </xf>
    <xf numFmtId="2" fontId="18" fillId="8" borderId="102" xfId="0" applyNumberFormat="1" applyFont="1" applyFill="1" applyBorder="1" applyAlignment="1">
      <alignment horizontal="center" vertical="center"/>
    </xf>
    <xf numFmtId="2" fontId="12" fillId="2" borderId="103" xfId="0" applyNumberFormat="1" applyFont="1" applyFill="1" applyBorder="1" applyAlignment="1">
      <alignment horizontal="center" vertical="center"/>
    </xf>
    <xf numFmtId="41" fontId="12" fillId="2" borderId="105" xfId="0" applyNumberFormat="1" applyFont="1" applyFill="1" applyBorder="1" applyAlignment="1">
      <alignment horizontal="center" vertical="center"/>
    </xf>
    <xf numFmtId="41" fontId="12" fillId="2" borderId="28" xfId="0" applyNumberFormat="1" applyFont="1" applyFill="1" applyBorder="1" applyAlignment="1">
      <alignment horizontal="center" vertical="center"/>
    </xf>
    <xf numFmtId="41" fontId="12" fillId="2" borderId="103" xfId="0" applyNumberFormat="1" applyFont="1" applyFill="1" applyBorder="1" applyAlignment="1">
      <alignment horizontal="center" vertical="center"/>
    </xf>
    <xf numFmtId="1" fontId="2" fillId="2" borderId="103" xfId="0" applyNumberFormat="1" applyFont="1" applyFill="1" applyBorder="1" applyAlignment="1">
      <alignment horizontal="center" vertical="center"/>
    </xf>
    <xf numFmtId="166" fontId="28" fillId="8" borderId="0" xfId="13" applyNumberFormat="1" applyFont="1" applyFill="1" applyBorder="1" applyAlignment="1">
      <alignment horizontal="center" vertical="center"/>
    </xf>
    <xf numFmtId="172" fontId="26" fillId="16" borderId="119" xfId="13" applyNumberFormat="1" applyFont="1" applyFill="1" applyBorder="1" applyAlignment="1">
      <alignment horizontal="center" vertical="center"/>
    </xf>
    <xf numFmtId="166" fontId="28" fillId="2" borderId="0" xfId="13" applyNumberFormat="1" applyFont="1" applyFill="1" applyBorder="1" applyAlignment="1">
      <alignment horizontal="center" vertical="top"/>
    </xf>
    <xf numFmtId="166" fontId="26" fillId="16" borderId="119" xfId="13" applyNumberFormat="1" applyFont="1" applyFill="1" applyBorder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109" fillId="0" borderId="0" xfId="8" applyFont="1" applyBorder="1" applyAlignment="1"/>
    <xf numFmtId="0" fontId="106" fillId="0" borderId="0" xfId="8" applyFont="1" applyBorder="1" applyAlignment="1"/>
    <xf numFmtId="0" fontId="110" fillId="0" borderId="0" xfId="8" applyFont="1" applyBorder="1" applyAlignment="1"/>
    <xf numFmtId="0" fontId="112" fillId="0" borderId="0" xfId="8" applyFont="1" applyAlignment="1">
      <alignment horizontal="left"/>
    </xf>
    <xf numFmtId="0" fontId="114" fillId="54" borderId="133" xfId="8" applyFont="1" applyFill="1" applyBorder="1" applyAlignment="1">
      <alignment horizontal="center" vertical="center" wrapText="1"/>
    </xf>
    <xf numFmtId="0" fontId="114" fillId="54" borderId="108" xfId="8" applyFont="1" applyFill="1" applyBorder="1" applyAlignment="1">
      <alignment horizontal="center" vertical="center" wrapText="1"/>
    </xf>
    <xf numFmtId="0" fontId="114" fillId="54" borderId="134" xfId="8" applyFont="1" applyFill="1" applyBorder="1" applyAlignment="1">
      <alignment horizontal="center" vertical="center" wrapText="1"/>
    </xf>
    <xf numFmtId="0" fontId="114" fillId="54" borderId="135" xfId="8" applyFont="1" applyFill="1" applyBorder="1" applyAlignment="1">
      <alignment horizontal="center" vertical="center" wrapText="1"/>
    </xf>
    <xf numFmtId="0" fontId="114" fillId="54" borderId="136" xfId="8" applyFont="1" applyFill="1" applyBorder="1" applyAlignment="1">
      <alignment horizontal="center" vertical="center" wrapText="1"/>
    </xf>
    <xf numFmtId="0" fontId="116" fillId="55" borderId="113" xfId="8" applyFont="1" applyFill="1" applyBorder="1" applyAlignment="1">
      <alignment horizontal="right" vertical="center"/>
    </xf>
    <xf numFmtId="0" fontId="117" fillId="0" borderId="143" xfId="8" applyFont="1" applyFill="1" applyBorder="1" applyAlignment="1"/>
    <xf numFmtId="0" fontId="112" fillId="0" borderId="0" xfId="8" applyFont="1" applyFill="1" applyBorder="1" applyAlignment="1">
      <alignment horizontal="right" vertical="center"/>
    </xf>
    <xf numFmtId="0" fontId="112" fillId="0" borderId="0" xfId="8" applyFont="1" applyFill="1" applyBorder="1" applyAlignment="1">
      <alignment horizontal="center"/>
    </xf>
    <xf numFmtId="0" fontId="118" fillId="0" borderId="0" xfId="8" applyFont="1" applyBorder="1" applyAlignment="1">
      <alignment horizontal="justify"/>
    </xf>
    <xf numFmtId="0" fontId="107" fillId="0" borderId="0" xfId="8" applyFont="1" applyBorder="1" applyAlignment="1">
      <alignment horizontal="justify"/>
    </xf>
    <xf numFmtId="0" fontId="114" fillId="54" borderId="154" xfId="8" applyFont="1" applyFill="1" applyBorder="1" applyAlignment="1">
      <alignment horizontal="center" vertical="center" wrapText="1"/>
    </xf>
    <xf numFmtId="0" fontId="115" fillId="55" borderId="150" xfId="8" applyFont="1" applyFill="1" applyBorder="1" applyAlignment="1">
      <alignment vertical="center"/>
    </xf>
    <xf numFmtId="0" fontId="114" fillId="55" borderId="55" xfId="8" applyFont="1" applyFill="1" applyBorder="1" applyAlignment="1">
      <alignment vertical="center"/>
    </xf>
    <xf numFmtId="0" fontId="112" fillId="55" borderId="25" xfId="8" applyFont="1" applyFill="1" applyBorder="1" applyAlignment="1">
      <alignment vertical="center"/>
    </xf>
    <xf numFmtId="0" fontId="112" fillId="55" borderId="87" xfId="8" applyFont="1" applyFill="1" applyBorder="1" applyAlignment="1">
      <alignment vertical="center"/>
    </xf>
    <xf numFmtId="0" fontId="112" fillId="55" borderId="127" xfId="8" applyFont="1" applyFill="1" applyBorder="1" applyAlignment="1">
      <alignment vertical="center"/>
    </xf>
    <xf numFmtId="0" fontId="112" fillId="55" borderId="155" xfId="8" applyFont="1" applyFill="1" applyBorder="1" applyAlignment="1">
      <alignment vertical="center"/>
    </xf>
    <xf numFmtId="0" fontId="112" fillId="55" borderId="151" xfId="8" applyFont="1" applyFill="1" applyBorder="1" applyAlignment="1">
      <alignment vertical="center"/>
    </xf>
    <xf numFmtId="0" fontId="117" fillId="0" borderId="143" xfId="8" applyFont="1" applyFill="1" applyBorder="1" applyAlignment="1">
      <alignment vertical="top" wrapText="1"/>
    </xf>
    <xf numFmtId="0" fontId="117" fillId="0" borderId="143" xfId="8" applyFont="1" applyFill="1" applyBorder="1" applyAlignment="1">
      <alignment wrapText="1"/>
    </xf>
    <xf numFmtId="0" fontId="114" fillId="54" borderId="156" xfId="8" applyFont="1" applyFill="1" applyBorder="1" applyAlignment="1"/>
    <xf numFmtId="0" fontId="112" fillId="55" borderId="25" xfId="8" applyFont="1" applyFill="1" applyBorder="1" applyAlignment="1">
      <alignment horizontal="right" vertical="center"/>
    </xf>
    <xf numFmtId="0" fontId="112" fillId="55" borderId="85" xfId="8" applyFont="1" applyFill="1" applyBorder="1" applyAlignment="1">
      <alignment horizontal="right" vertical="center"/>
    </xf>
    <xf numFmtId="0" fontId="112" fillId="55" borderId="158" xfId="8" applyFont="1" applyFill="1" applyBorder="1" applyAlignment="1">
      <alignment horizontal="right" vertical="center"/>
    </xf>
    <xf numFmtId="0" fontId="112" fillId="55" borderId="150" xfId="8" applyFont="1" applyFill="1" applyBorder="1" applyAlignment="1">
      <alignment horizontal="right" vertical="center"/>
    </xf>
    <xf numFmtId="0" fontId="114" fillId="54" borderId="148" xfId="8" applyFont="1" applyFill="1" applyBorder="1" applyAlignment="1"/>
    <xf numFmtId="0" fontId="115" fillId="55" borderId="151" xfId="8" applyFont="1" applyFill="1" applyBorder="1" applyAlignment="1">
      <alignment vertical="center"/>
    </xf>
    <xf numFmtId="0" fontId="112" fillId="55" borderId="159" xfId="8" applyFont="1" applyFill="1" applyBorder="1" applyAlignment="1">
      <alignment horizontal="right" vertical="center"/>
    </xf>
    <xf numFmtId="0" fontId="117" fillId="59" borderId="143" xfId="8" applyFont="1" applyFill="1" applyBorder="1" applyAlignment="1">
      <alignment vertical="center"/>
    </xf>
    <xf numFmtId="0" fontId="112" fillId="59" borderId="143" xfId="8" applyFont="1" applyFill="1" applyBorder="1" applyAlignment="1" applyProtection="1">
      <alignment horizontal="right" vertical="center"/>
      <protection locked="0"/>
    </xf>
    <xf numFmtId="0" fontId="117" fillId="0" borderId="143" xfId="8" applyFont="1" applyFill="1" applyBorder="1" applyAlignment="1">
      <alignment vertical="center"/>
    </xf>
    <xf numFmtId="0" fontId="112" fillId="0" borderId="143" xfId="8" applyFont="1" applyFill="1" applyBorder="1" applyAlignment="1" applyProtection="1">
      <alignment horizontal="right" vertical="center"/>
      <protection locked="0"/>
    </xf>
    <xf numFmtId="0" fontId="107" fillId="54" borderId="153" xfId="8" applyFont="1" applyFill="1" applyBorder="1" applyAlignment="1"/>
    <xf numFmtId="0" fontId="118" fillId="0" borderId="0" xfId="8" applyFont="1" applyBorder="1" applyAlignment="1">
      <alignment horizontal="right" vertical="center"/>
    </xf>
    <xf numFmtId="0" fontId="106" fillId="0" borderId="0" xfId="8" applyFont="1" applyBorder="1" applyAlignment="1">
      <alignment horizontal="right" vertical="center"/>
    </xf>
    <xf numFmtId="0" fontId="107" fillId="0" borderId="123" xfId="8" applyFont="1" applyBorder="1" applyAlignment="1">
      <alignment horizontal="justify" vertical="center"/>
    </xf>
    <xf numFmtId="0" fontId="20" fillId="56" borderId="152" xfId="8" applyFont="1" applyFill="1" applyBorder="1" applyAlignment="1" applyProtection="1">
      <alignment horizontal="right" vertical="center"/>
      <protection locked="0"/>
    </xf>
    <xf numFmtId="0" fontId="20" fillId="56" borderId="166" xfId="8" applyFont="1" applyFill="1" applyBorder="1" applyAlignment="1" applyProtection="1">
      <alignment horizontal="right" vertical="center"/>
      <protection locked="0"/>
    </xf>
    <xf numFmtId="0" fontId="20" fillId="56" borderId="124" xfId="8" applyFont="1" applyFill="1" applyBorder="1" applyAlignment="1" applyProtection="1">
      <alignment horizontal="right" vertical="center"/>
      <protection locked="0"/>
    </xf>
    <xf numFmtId="0" fontId="20" fillId="56" borderId="167" xfId="8" applyFont="1" applyFill="1" applyBorder="1" applyAlignment="1" applyProtection="1">
      <alignment horizontal="right" vertical="center"/>
      <protection locked="0"/>
    </xf>
    <xf numFmtId="0" fontId="20" fillId="56" borderId="125" xfId="8" applyFont="1" applyFill="1" applyBorder="1" applyAlignment="1" applyProtection="1">
      <alignment horizontal="right" vertical="center"/>
      <protection locked="0"/>
    </xf>
    <xf numFmtId="0" fontId="114" fillId="0" borderId="153" xfId="8" applyFont="1" applyBorder="1" applyAlignment="1">
      <alignment wrapText="1"/>
    </xf>
    <xf numFmtId="0" fontId="20" fillId="0" borderId="125" xfId="8" applyFont="1" applyFill="1" applyBorder="1" applyAlignment="1" applyProtection="1">
      <alignment horizontal="right" vertical="center"/>
      <protection locked="0"/>
    </xf>
    <xf numFmtId="0" fontId="109" fillId="0" borderId="122" xfId="8" applyFont="1" applyFill="1" applyBorder="1" applyAlignment="1">
      <alignment horizontal="right" vertical="center"/>
    </xf>
    <xf numFmtId="0" fontId="109" fillId="0" borderId="0" xfId="8" applyFont="1" applyFill="1" applyBorder="1" applyAlignment="1">
      <alignment horizontal="right" vertical="center"/>
    </xf>
    <xf numFmtId="0" fontId="120" fillId="0" borderId="0" xfId="8" applyFont="1" applyBorder="1" applyAlignment="1"/>
    <xf numFmtId="0" fontId="107" fillId="0" borderId="0" xfId="8" applyFont="1" applyBorder="1" applyAlignment="1"/>
    <xf numFmtId="0" fontId="106" fillId="0" borderId="0" xfId="8" applyFont="1" applyFill="1" applyBorder="1" applyAlignment="1"/>
    <xf numFmtId="0" fontId="111" fillId="0" borderId="0" xfId="8" applyFont="1" applyFill="1" applyBorder="1" applyAlignment="1">
      <alignment horizontal="justify" vertical="center" wrapText="1"/>
    </xf>
    <xf numFmtId="0" fontId="112" fillId="0" borderId="0" xfId="8" applyFont="1" applyFill="1" applyBorder="1" applyAlignment="1"/>
    <xf numFmtId="0" fontId="114" fillId="54" borderId="172" xfId="8" applyFont="1" applyFill="1" applyBorder="1" applyAlignment="1">
      <alignment horizontal="center" vertical="center" wrapText="1"/>
    </xf>
    <xf numFmtId="0" fontId="114" fillId="54" borderId="173" xfId="8" applyFont="1" applyFill="1" applyBorder="1" applyAlignment="1">
      <alignment horizontal="center" vertical="center" wrapText="1"/>
    </xf>
    <xf numFmtId="0" fontId="114" fillId="54" borderId="174" xfId="8" applyFont="1" applyFill="1" applyBorder="1" applyAlignment="1">
      <alignment horizontal="center" vertical="center" wrapText="1"/>
    </xf>
    <xf numFmtId="0" fontId="114" fillId="0" borderId="176" xfId="8" applyFont="1" applyFill="1" applyBorder="1" applyAlignment="1">
      <alignment horizontal="center"/>
    </xf>
    <xf numFmtId="0" fontId="20" fillId="0" borderId="128" xfId="8" applyFont="1" applyFill="1" applyBorder="1" applyAlignment="1" applyProtection="1">
      <alignment horizontal="right" vertical="center"/>
      <protection locked="0"/>
    </xf>
    <xf numFmtId="0" fontId="106" fillId="60" borderId="112" xfId="8" applyFont="1" applyFill="1" applyBorder="1" applyAlignment="1">
      <alignment horizontal="right" vertical="center"/>
    </xf>
    <xf numFmtId="0" fontId="112" fillId="56" borderId="176" xfId="8" applyFont="1" applyFill="1" applyBorder="1" applyAlignment="1" applyProtection="1">
      <alignment horizontal="right" vertical="center"/>
      <protection locked="0"/>
    </xf>
    <xf numFmtId="0" fontId="114" fillId="0" borderId="143" xfId="8" applyFont="1" applyFill="1" applyBorder="1" applyAlignment="1">
      <alignment horizontal="center"/>
    </xf>
    <xf numFmtId="0" fontId="20" fillId="0" borderId="93" xfId="8" applyFont="1" applyFill="1" applyBorder="1" applyAlignment="1" applyProtection="1">
      <alignment horizontal="right" vertical="center"/>
      <protection locked="0"/>
    </xf>
    <xf numFmtId="0" fontId="112" fillId="56" borderId="143" xfId="8" applyFont="1" applyFill="1" applyBorder="1" applyAlignment="1" applyProtection="1">
      <alignment horizontal="right" vertical="center"/>
      <protection locked="0"/>
    </xf>
    <xf numFmtId="0" fontId="106" fillId="0" borderId="182" xfId="8" applyFont="1" applyFill="1" applyBorder="1" applyAlignment="1" applyProtection="1">
      <alignment horizontal="right" vertical="center"/>
      <protection locked="0"/>
    </xf>
    <xf numFmtId="0" fontId="106" fillId="0" borderId="105" xfId="8" applyFont="1" applyFill="1" applyBorder="1" applyAlignment="1" applyProtection="1">
      <alignment horizontal="right" vertical="center"/>
      <protection locked="0"/>
    </xf>
    <xf numFmtId="0" fontId="20" fillId="0" borderId="105" xfId="8" applyFont="1" applyFill="1" applyBorder="1" applyAlignment="1" applyProtection="1">
      <alignment horizontal="right" vertical="center" wrapText="1"/>
      <protection locked="0"/>
    </xf>
    <xf numFmtId="0" fontId="106" fillId="0" borderId="106" xfId="8" applyFont="1" applyFill="1" applyBorder="1" applyAlignment="1" applyProtection="1">
      <alignment horizontal="right" vertical="center"/>
      <protection locked="0"/>
    </xf>
    <xf numFmtId="0" fontId="106" fillId="0" borderId="115" xfId="8" applyFont="1" applyFill="1" applyBorder="1" applyAlignment="1" applyProtection="1">
      <alignment horizontal="right" vertical="center"/>
      <protection locked="0"/>
    </xf>
    <xf numFmtId="0" fontId="106" fillId="0" borderId="141" xfId="8" applyFont="1" applyFill="1" applyBorder="1" applyAlignment="1" applyProtection="1">
      <alignment horizontal="right" vertical="center"/>
      <protection locked="0"/>
    </xf>
    <xf numFmtId="0" fontId="114" fillId="0" borderId="143" xfId="8" applyFont="1" applyFill="1" applyBorder="1" applyAlignment="1" applyProtection="1">
      <alignment horizontal="center" wrapText="1"/>
      <protection locked="0"/>
    </xf>
    <xf numFmtId="0" fontId="20" fillId="0" borderId="161" xfId="8" applyFont="1" applyFill="1" applyBorder="1" applyAlignment="1" applyProtection="1">
      <alignment horizontal="right" vertical="center"/>
      <protection locked="0"/>
    </xf>
    <xf numFmtId="0" fontId="106" fillId="0" borderId="183" xfId="8" applyFont="1" applyFill="1" applyBorder="1" applyAlignment="1" applyProtection="1">
      <alignment horizontal="right" vertical="center"/>
      <protection locked="0"/>
    </xf>
    <xf numFmtId="0" fontId="106" fillId="0" borderId="108" xfId="8" applyFont="1" applyFill="1" applyBorder="1" applyAlignment="1" applyProtection="1">
      <alignment horizontal="right" vertical="center"/>
      <protection locked="0"/>
    </xf>
    <xf numFmtId="0" fontId="106" fillId="0" borderId="184" xfId="8" applyFont="1" applyFill="1" applyBorder="1" applyAlignment="1" applyProtection="1">
      <alignment horizontal="right" vertical="center"/>
      <protection locked="0"/>
    </xf>
    <xf numFmtId="0" fontId="106" fillId="0" borderId="96" xfId="8" applyFont="1" applyFill="1" applyBorder="1" applyAlignment="1" applyProtection="1">
      <alignment horizontal="right" vertical="center"/>
      <protection locked="0"/>
    </xf>
    <xf numFmtId="0" fontId="106" fillId="0" borderId="135" xfId="8" applyFont="1" applyFill="1" applyBorder="1" applyAlignment="1" applyProtection="1">
      <alignment horizontal="right" vertical="center"/>
      <protection locked="0"/>
    </xf>
    <xf numFmtId="0" fontId="106" fillId="0" borderId="185" xfId="8" applyFont="1" applyFill="1" applyBorder="1" applyAlignment="1" applyProtection="1">
      <alignment horizontal="right" vertical="center"/>
      <protection locked="0"/>
    </xf>
    <xf numFmtId="0" fontId="112" fillId="56" borderId="186" xfId="8" applyFont="1" applyFill="1" applyBorder="1" applyAlignment="1" applyProtection="1">
      <alignment horizontal="right" vertical="center"/>
      <protection locked="0"/>
    </xf>
    <xf numFmtId="0" fontId="114" fillId="54" borderId="131" xfId="8" applyFont="1" applyFill="1" applyBorder="1" applyAlignment="1">
      <alignment horizontal="center"/>
    </xf>
    <xf numFmtId="0" fontId="20" fillId="56" borderId="123" xfId="8" applyFont="1" applyFill="1" applyBorder="1" applyAlignment="1" applyProtection="1">
      <alignment horizontal="right" vertical="center"/>
      <protection locked="0"/>
    </xf>
    <xf numFmtId="0" fontId="112" fillId="56" borderId="152" xfId="8" applyFont="1" applyFill="1" applyBorder="1" applyAlignment="1" applyProtection="1">
      <alignment horizontal="right" vertical="center"/>
      <protection locked="0"/>
    </xf>
    <xf numFmtId="0" fontId="112" fillId="56" borderId="125" xfId="8" applyFont="1" applyFill="1" applyBorder="1" applyAlignment="1" applyProtection="1">
      <alignment horizontal="right" vertical="center"/>
      <protection locked="0"/>
    </xf>
    <xf numFmtId="0" fontId="106" fillId="0" borderId="122" xfId="8" applyFont="1" applyFill="1" applyBorder="1" applyAlignment="1">
      <alignment horizontal="right" vertical="center"/>
    </xf>
    <xf numFmtId="0" fontId="106" fillId="0" borderId="112" xfId="8" applyFont="1" applyFill="1" applyBorder="1" applyAlignment="1">
      <alignment horizontal="right" vertical="center"/>
    </xf>
    <xf numFmtId="0" fontId="112" fillId="0" borderId="112" xfId="8" applyFont="1" applyBorder="1" applyAlignment="1">
      <alignment horizontal="justify"/>
    </xf>
    <xf numFmtId="0" fontId="112" fillId="0" borderId="0" xfId="8" applyFont="1" applyBorder="1" applyAlignment="1">
      <alignment horizontal="justify"/>
    </xf>
    <xf numFmtId="0" fontId="106" fillId="0" borderId="112" xfId="8" applyFont="1" applyBorder="1" applyAlignment="1"/>
    <xf numFmtId="0" fontId="106" fillId="0" borderId="112" xfId="8" applyFont="1" applyFill="1" applyBorder="1" applyAlignment="1"/>
    <xf numFmtId="2" fontId="20" fillId="0" borderId="115" xfId="8" applyNumberFormat="1" applyFont="1" applyFill="1" applyBorder="1" applyAlignment="1" applyProtection="1">
      <alignment horizontal="right" vertical="center"/>
      <protection locked="0"/>
    </xf>
    <xf numFmtId="2" fontId="20" fillId="0" borderId="105" xfId="8" applyNumberFormat="1" applyFont="1" applyFill="1" applyBorder="1" applyAlignment="1" applyProtection="1">
      <alignment horizontal="right" vertical="center"/>
      <protection locked="0"/>
    </xf>
    <xf numFmtId="0" fontId="108" fillId="0" borderId="0" xfId="8" applyFont="1" applyFill="1" applyBorder="1" applyAlignment="1"/>
    <xf numFmtId="2" fontId="20" fillId="0" borderId="146" xfId="8" applyNumberFormat="1" applyFont="1" applyFill="1" applyBorder="1" applyAlignment="1" applyProtection="1">
      <alignment horizontal="right" vertical="center"/>
      <protection locked="0"/>
    </xf>
    <xf numFmtId="2" fontId="20" fillId="0" borderId="51" xfId="8" applyNumberFormat="1" applyFont="1" applyFill="1" applyBorder="1" applyAlignment="1" applyProtection="1">
      <alignment horizontal="right" vertical="center"/>
      <protection locked="0"/>
    </xf>
    <xf numFmtId="2" fontId="20" fillId="56" borderId="149" xfId="8" applyNumberFormat="1" applyFont="1" applyFill="1" applyBorder="1" applyAlignment="1" applyProtection="1">
      <alignment horizontal="right" vertical="center"/>
      <protection locked="0"/>
    </xf>
    <xf numFmtId="2" fontId="20" fillId="0" borderId="143" xfId="8" applyNumberFormat="1" applyFont="1" applyFill="1" applyBorder="1" applyAlignment="1" applyProtection="1">
      <alignment horizontal="right" vertical="center"/>
      <protection locked="0"/>
    </xf>
    <xf numFmtId="2" fontId="20" fillId="56" borderId="50" xfId="8" applyNumberFormat="1" applyFont="1" applyFill="1" applyBorder="1" applyAlignment="1" applyProtection="1">
      <alignment horizontal="right" vertical="center"/>
      <protection locked="0"/>
    </xf>
    <xf numFmtId="2" fontId="20" fillId="56" borderId="157" xfId="8" applyNumberFormat="1" applyFont="1" applyFill="1" applyBorder="1" applyAlignment="1" applyProtection="1">
      <alignment horizontal="right" vertical="center"/>
      <protection locked="0"/>
    </xf>
    <xf numFmtId="0" fontId="114" fillId="0" borderId="0" xfId="8" applyFont="1" applyBorder="1" applyAlignment="1">
      <alignment wrapText="1"/>
    </xf>
    <xf numFmtId="0" fontId="20" fillId="0" borderId="0" xfId="8" applyFont="1" applyFill="1" applyBorder="1" applyAlignment="1" applyProtection="1">
      <alignment horizontal="right" vertical="center"/>
      <protection locked="0"/>
    </xf>
    <xf numFmtId="2" fontId="112" fillId="56" borderId="165" xfId="8" applyNumberFormat="1" applyFont="1" applyFill="1" applyBorder="1" applyAlignment="1" applyProtection="1">
      <alignment horizontal="right" vertical="center"/>
      <protection locked="0"/>
    </xf>
    <xf numFmtId="2" fontId="112" fillId="56" borderId="136" xfId="8" applyNumberFormat="1" applyFont="1" applyFill="1" applyBorder="1" applyAlignment="1" applyProtection="1">
      <alignment horizontal="right" vertical="center"/>
      <protection locked="0"/>
    </xf>
    <xf numFmtId="0" fontId="107" fillId="0" borderId="123" xfId="8" applyFont="1" applyFill="1" applyBorder="1" applyAlignment="1">
      <alignment horizontal="justify" vertical="center"/>
    </xf>
    <xf numFmtId="2" fontId="20" fillId="0" borderId="142" xfId="8" applyNumberFormat="1" applyFont="1" applyFill="1" applyBorder="1" applyAlignment="1" applyProtection="1">
      <alignment horizontal="right" vertical="center"/>
      <protection locked="0"/>
    </xf>
    <xf numFmtId="2" fontId="20" fillId="0" borderId="130" xfId="8" applyNumberFormat="1" applyFont="1" applyFill="1" applyBorder="1" applyAlignment="1" applyProtection="1">
      <alignment horizontal="right" vertical="center"/>
      <protection locked="0"/>
    </xf>
    <xf numFmtId="2" fontId="20" fillId="0" borderId="50" xfId="8" applyNumberFormat="1" applyFont="1" applyFill="1" applyBorder="1" applyAlignment="1" applyProtection="1">
      <alignment horizontal="right" vertical="center"/>
      <protection locked="0"/>
    </xf>
    <xf numFmtId="2" fontId="20" fillId="0" borderId="147" xfId="8" applyNumberFormat="1" applyFont="1" applyFill="1" applyBorder="1" applyAlignment="1" applyProtection="1">
      <alignment horizontal="right" vertical="center"/>
      <protection locked="0"/>
    </xf>
    <xf numFmtId="2" fontId="20" fillId="0" borderId="148" xfId="8" applyNumberFormat="1" applyFont="1" applyFill="1" applyBorder="1" applyAlignment="1" applyProtection="1">
      <alignment horizontal="right" vertical="center"/>
      <protection locked="0"/>
    </xf>
    <xf numFmtId="2" fontId="20" fillId="55" borderId="150" xfId="8" applyNumberFormat="1" applyFont="1" applyFill="1" applyBorder="1" applyAlignment="1">
      <alignment horizontal="right" vertical="center"/>
    </xf>
    <xf numFmtId="2" fontId="20" fillId="56" borderId="145" xfId="8" applyNumberFormat="1" applyFont="1" applyFill="1" applyBorder="1" applyAlignment="1" applyProtection="1">
      <alignment horizontal="right" vertical="center"/>
      <protection locked="0"/>
    </xf>
    <xf numFmtId="2" fontId="112" fillId="56" borderId="152" xfId="8" applyNumberFormat="1" applyFont="1" applyFill="1" applyBorder="1" applyAlignment="1" applyProtection="1">
      <alignment horizontal="right" vertical="center"/>
      <protection locked="0"/>
    </xf>
    <xf numFmtId="2" fontId="20" fillId="56" borderId="86" xfId="8" applyNumberFormat="1" applyFont="1" applyFill="1" applyBorder="1" applyAlignment="1" applyProtection="1">
      <alignment horizontal="right" vertical="center"/>
      <protection locked="0"/>
    </xf>
    <xf numFmtId="2" fontId="112" fillId="56" borderId="192" xfId="8" applyNumberFormat="1" applyFont="1" applyFill="1" applyBorder="1" applyAlignment="1" applyProtection="1">
      <alignment horizontal="right" vertical="center"/>
      <protection locked="0"/>
    </xf>
    <xf numFmtId="0" fontId="115" fillId="55" borderId="194" xfId="8" applyFont="1" applyFill="1" applyBorder="1" applyAlignment="1"/>
    <xf numFmtId="0" fontId="117" fillId="0" borderId="116" xfId="8" applyFont="1" applyFill="1" applyBorder="1" applyAlignment="1"/>
    <xf numFmtId="0" fontId="117" fillId="0" borderId="116" xfId="8" applyFont="1" applyFill="1" applyBorder="1" applyAlignment="1">
      <alignment vertical="top" wrapText="1"/>
    </xf>
    <xf numFmtId="0" fontId="117" fillId="0" borderId="20" xfId="8" applyFont="1" applyFill="1" applyBorder="1" applyAlignment="1">
      <alignment wrapText="1"/>
    </xf>
    <xf numFmtId="0" fontId="114" fillId="54" borderId="7" xfId="8" applyFont="1" applyFill="1" applyBorder="1" applyAlignment="1"/>
    <xf numFmtId="0" fontId="115" fillId="55" borderId="19" xfId="8" applyFont="1" applyFill="1" applyBorder="1" applyAlignment="1"/>
    <xf numFmtId="0" fontId="114" fillId="54" borderId="20" xfId="8" applyFont="1" applyFill="1" applyBorder="1" applyAlignment="1"/>
    <xf numFmtId="0" fontId="107" fillId="54" borderId="195" xfId="8" applyFont="1" applyFill="1" applyBorder="1" applyAlignment="1"/>
    <xf numFmtId="0" fontId="114" fillId="54" borderId="156" xfId="8" applyFont="1" applyFill="1" applyBorder="1" applyAlignment="1">
      <alignment wrapText="1"/>
    </xf>
    <xf numFmtId="2" fontId="20" fillId="56" borderId="80" xfId="8" applyNumberFormat="1" applyFont="1" applyFill="1" applyBorder="1" applyAlignment="1" applyProtection="1">
      <alignment horizontal="right" vertical="center"/>
      <protection locked="0"/>
    </xf>
    <xf numFmtId="2" fontId="112" fillId="55" borderId="55" xfId="8" applyNumberFormat="1" applyFont="1" applyFill="1" applyBorder="1" applyAlignment="1">
      <alignment horizontal="right" vertical="center"/>
    </xf>
    <xf numFmtId="2" fontId="112" fillId="55" borderId="25" xfId="8" applyNumberFormat="1" applyFont="1" applyFill="1" applyBorder="1" applyAlignment="1">
      <alignment horizontal="right" vertical="center"/>
    </xf>
    <xf numFmtId="2" fontId="112" fillId="55" borderId="85" xfId="8" applyNumberFormat="1" applyFont="1" applyFill="1" applyBorder="1" applyAlignment="1">
      <alignment horizontal="right" vertical="center"/>
    </xf>
    <xf numFmtId="2" fontId="112" fillId="55" borderId="158" xfId="8" applyNumberFormat="1" applyFont="1" applyFill="1" applyBorder="1" applyAlignment="1">
      <alignment horizontal="right" vertical="center"/>
    </xf>
    <xf numFmtId="2" fontId="112" fillId="55" borderId="150" xfId="8" applyNumberFormat="1" applyFont="1" applyFill="1" applyBorder="1" applyAlignment="1">
      <alignment horizontal="right" vertical="center"/>
    </xf>
    <xf numFmtId="2" fontId="112" fillId="55" borderId="159" xfId="8" applyNumberFormat="1" applyFont="1" applyFill="1" applyBorder="1" applyAlignment="1">
      <alignment horizontal="right" vertical="center"/>
    </xf>
    <xf numFmtId="2" fontId="112" fillId="59" borderId="143" xfId="8" applyNumberFormat="1" applyFont="1" applyFill="1" applyBorder="1" applyAlignment="1" applyProtection="1">
      <alignment horizontal="right" vertical="center"/>
      <protection locked="0"/>
    </xf>
    <xf numFmtId="2" fontId="112" fillId="0" borderId="143" xfId="8" applyNumberFormat="1" applyFont="1" applyFill="1" applyBorder="1" applyAlignment="1" applyProtection="1">
      <alignment horizontal="right" vertical="center"/>
      <protection locked="0"/>
    </xf>
    <xf numFmtId="0" fontId="68" fillId="2" borderId="0" xfId="0" applyFont="1" applyFill="1" applyAlignment="1">
      <alignment wrapText="1"/>
    </xf>
    <xf numFmtId="0" fontId="68" fillId="2" borderId="0" xfId="0" applyFont="1" applyFill="1"/>
    <xf numFmtId="0" fontId="62" fillId="2" borderId="0" xfId="0" applyFont="1" applyFill="1" applyBorder="1" applyAlignment="1">
      <alignment horizontal="center" wrapText="1"/>
    </xf>
    <xf numFmtId="2" fontId="62" fillId="2" borderId="0" xfId="0" applyNumberFormat="1" applyFont="1" applyFill="1" applyBorder="1" applyAlignment="1">
      <alignment horizontal="center" vertical="center"/>
    </xf>
    <xf numFmtId="0" fontId="68" fillId="2" borderId="0" xfId="0" applyFont="1" applyFill="1" applyAlignment="1">
      <alignment vertical="top"/>
    </xf>
    <xf numFmtId="0" fontId="62" fillId="2" borderId="78" xfId="0" applyFont="1" applyFill="1" applyBorder="1"/>
    <xf numFmtId="2" fontId="68" fillId="2" borderId="0" xfId="0" applyNumberFormat="1" applyFont="1" applyFill="1"/>
    <xf numFmtId="43" fontId="68" fillId="2" borderId="78" xfId="13" applyFont="1" applyFill="1" applyBorder="1" applyAlignment="1">
      <alignment horizontal="center"/>
    </xf>
    <xf numFmtId="43" fontId="68" fillId="2" borderId="0" xfId="0" applyNumberFormat="1" applyFont="1" applyFill="1"/>
    <xf numFmtId="2" fontId="67" fillId="2" borderId="0" xfId="0" applyNumberFormat="1" applyFont="1" applyFill="1" applyBorder="1" applyAlignment="1">
      <alignment horizontal="center" vertical="center"/>
    </xf>
    <xf numFmtId="2" fontId="92" fillId="2" borderId="0" xfId="0" applyNumberFormat="1" applyFont="1" applyFill="1" applyBorder="1" applyAlignment="1">
      <alignment horizontal="center" vertical="top"/>
    </xf>
    <xf numFmtId="2" fontId="68" fillId="2" borderId="105" xfId="0" applyNumberFormat="1" applyFont="1" applyFill="1" applyBorder="1" applyAlignment="1">
      <alignment horizontal="center" vertical="center"/>
    </xf>
    <xf numFmtId="43" fontId="68" fillId="2" borderId="0" xfId="13" applyFont="1" applyFill="1" applyBorder="1"/>
    <xf numFmtId="43" fontId="62" fillId="2" borderId="0" xfId="13" applyFont="1" applyFill="1" applyBorder="1" applyAlignment="1">
      <alignment horizontal="center" vertical="center"/>
    </xf>
    <xf numFmtId="43" fontId="68" fillId="2" borderId="0" xfId="13" applyFont="1" applyFill="1"/>
    <xf numFmtId="179" fontId="68" fillId="8" borderId="0" xfId="13" applyNumberFormat="1" applyFont="1" applyFill="1" applyBorder="1" applyAlignment="1">
      <alignment horizontal="center" vertical="center"/>
    </xf>
    <xf numFmtId="180" fontId="62" fillId="2" borderId="105" xfId="17" applyNumberFormat="1" applyFont="1" applyFill="1" applyBorder="1" applyAlignment="1">
      <alignment horizontal="center" wrapText="1"/>
    </xf>
    <xf numFmtId="43" fontId="68" fillId="2" borderId="105" xfId="13" applyFont="1" applyFill="1" applyBorder="1" applyAlignment="1">
      <alignment vertical="center"/>
    </xf>
    <xf numFmtId="43" fontId="62" fillId="2" borderId="105" xfId="13" applyFont="1" applyFill="1" applyBorder="1" applyAlignment="1">
      <alignment horizontal="center" vertical="center"/>
    </xf>
    <xf numFmtId="0" fontId="62" fillId="2" borderId="105" xfId="0" applyFont="1" applyFill="1" applyBorder="1" applyAlignment="1">
      <alignment horizontal="center" vertical="center" wrapText="1"/>
    </xf>
    <xf numFmtId="180" fontId="68" fillId="2" borderId="105" xfId="17" applyNumberFormat="1" applyFont="1" applyFill="1" applyBorder="1" applyAlignment="1">
      <alignment horizontal="center" wrapText="1"/>
    </xf>
    <xf numFmtId="0" fontId="68" fillId="2" borderId="78" xfId="0" applyFont="1" applyFill="1" applyBorder="1" applyAlignment="1">
      <alignment horizontal="center"/>
    </xf>
    <xf numFmtId="0" fontId="62" fillId="2" borderId="78" xfId="0" applyFont="1" applyFill="1" applyBorder="1" applyAlignment="1">
      <alignment horizontal="center"/>
    </xf>
    <xf numFmtId="0" fontId="68" fillId="2" borderId="105" xfId="0" applyFont="1" applyFill="1" applyBorder="1" applyAlignment="1">
      <alignment horizontal="center" vertical="center" wrapText="1"/>
    </xf>
    <xf numFmtId="0" fontId="62" fillId="10" borderId="105" xfId="0" applyFont="1" applyFill="1" applyBorder="1" applyAlignment="1">
      <alignment horizontal="center" vertical="center" wrapText="1"/>
    </xf>
    <xf numFmtId="0" fontId="62" fillId="10" borderId="78" xfId="0" applyFont="1" applyFill="1" applyBorder="1"/>
    <xf numFmtId="10" fontId="62" fillId="10" borderId="78" xfId="0" applyNumberFormat="1" applyFont="1" applyFill="1" applyBorder="1" applyAlignment="1">
      <alignment horizontal="center"/>
    </xf>
    <xf numFmtId="43" fontId="62" fillId="10" borderId="78" xfId="13" applyFont="1" applyFill="1" applyBorder="1" applyAlignment="1">
      <alignment horizontal="center"/>
    </xf>
    <xf numFmtId="0" fontId="62" fillId="10" borderId="105" xfId="0" applyFont="1" applyFill="1" applyBorder="1" applyAlignment="1">
      <alignment horizontal="center" wrapText="1"/>
    </xf>
    <xf numFmtId="0" fontId="61" fillId="18" borderId="16" xfId="71" applyFont="1" applyFill="1" applyBorder="1" applyAlignment="1">
      <alignment horizontal="center" vertical="center"/>
    </xf>
    <xf numFmtId="0" fontId="83" fillId="18" borderId="78" xfId="71" applyFont="1" applyFill="1" applyBorder="1" applyAlignment="1">
      <alignment horizontal="center" vertical="center" wrapText="1"/>
    </xf>
    <xf numFmtId="2" fontId="65" fillId="0" borderId="78" xfId="0" applyNumberFormat="1" applyFont="1" applyBorder="1" applyAlignment="1">
      <alignment horizontal="center" vertical="center" wrapText="1"/>
    </xf>
    <xf numFmtId="0" fontId="62" fillId="0" borderId="78" xfId="0" applyFont="1" applyBorder="1" applyAlignment="1">
      <alignment horizontal="center" vertical="center"/>
    </xf>
    <xf numFmtId="0" fontId="30" fillId="19" borderId="83" xfId="0" applyFont="1" applyFill="1" applyBorder="1" applyAlignment="1">
      <alignment horizontal="left" vertical="center" wrapText="1"/>
    </xf>
    <xf numFmtId="166" fontId="30" fillId="19" borderId="184" xfId="0" applyNumberFormat="1" applyFont="1" applyFill="1" applyBorder="1" applyAlignment="1">
      <alignment horizontal="center" vertical="center"/>
    </xf>
    <xf numFmtId="0" fontId="30" fillId="19" borderId="107" xfId="0" applyFont="1" applyFill="1" applyBorder="1" applyAlignment="1">
      <alignment horizontal="left" vertical="center" wrapText="1"/>
    </xf>
    <xf numFmtId="166" fontId="30" fillId="19" borderId="106" xfId="16" applyNumberFormat="1" applyFont="1" applyFill="1" applyBorder="1" applyAlignment="1">
      <alignment horizontal="center" vertical="center"/>
    </xf>
    <xf numFmtId="0" fontId="30" fillId="16" borderId="102" xfId="0" applyFont="1" applyFill="1" applyBorder="1" applyAlignment="1">
      <alignment horizontal="left" vertical="center" wrapText="1"/>
    </xf>
    <xf numFmtId="168" fontId="30" fillId="16" borderId="104" xfId="0" applyNumberFormat="1" applyFont="1" applyFill="1" applyBorder="1" applyAlignment="1">
      <alignment horizontal="center" vertical="center"/>
    </xf>
    <xf numFmtId="0" fontId="83" fillId="18" borderId="105" xfId="71" applyFont="1" applyFill="1" applyBorder="1" applyAlignment="1">
      <alignment horizontal="center" vertical="center" wrapText="1"/>
    </xf>
    <xf numFmtId="2" fontId="65" fillId="0" borderId="105" xfId="71" applyNumberFormat="1" applyFont="1" applyBorder="1" applyAlignment="1">
      <alignment horizontal="right" vertical="center" wrapText="1"/>
    </xf>
    <xf numFmtId="0" fontId="65" fillId="0" borderId="105" xfId="71" applyFont="1" applyBorder="1" applyAlignment="1">
      <alignment horizontal="center" vertical="center" wrapText="1"/>
    </xf>
    <xf numFmtId="2" fontId="65" fillId="0" borderId="105" xfId="71" applyNumberFormat="1" applyFont="1" applyBorder="1" applyAlignment="1">
      <alignment horizontal="center" vertical="center" wrapText="1"/>
    </xf>
    <xf numFmtId="2" fontId="83" fillId="18" borderId="105" xfId="71" applyNumberFormat="1" applyFont="1" applyFill="1" applyBorder="1" applyAlignment="1">
      <alignment vertical="center" wrapText="1"/>
    </xf>
    <xf numFmtId="2" fontId="83" fillId="18" borderId="105" xfId="71" applyNumberFormat="1" applyFont="1" applyFill="1" applyBorder="1" applyAlignment="1">
      <alignment horizontal="center" vertical="center" wrapText="1"/>
    </xf>
    <xf numFmtId="0" fontId="83" fillId="18" borderId="89" xfId="71" applyFont="1" applyFill="1" applyBorder="1" applyAlignment="1">
      <alignment horizontal="center" vertical="center" wrapText="1"/>
    </xf>
    <xf numFmtId="0" fontId="65" fillId="0" borderId="0" xfId="71" applyFont="1" applyAlignment="1">
      <alignment horizontal="center"/>
    </xf>
    <xf numFmtId="0" fontId="65" fillId="0" borderId="0" xfId="0" applyFont="1" applyAlignment="1">
      <alignment horizontal="center"/>
    </xf>
    <xf numFmtId="0" fontId="122" fillId="0" borderId="78" xfId="0" applyFont="1" applyBorder="1" applyAlignment="1">
      <alignment horizontal="center" vertical="center" wrapText="1"/>
    </xf>
    <xf numFmtId="0" fontId="123" fillId="0" borderId="78" xfId="0" applyFont="1" applyBorder="1" applyAlignment="1">
      <alignment horizontal="center" vertical="center" wrapText="1"/>
    </xf>
    <xf numFmtId="0" fontId="86" fillId="18" borderId="82" xfId="0" applyFont="1" applyFill="1" applyBorder="1" applyAlignment="1">
      <alignment horizontal="center" vertical="center" wrapText="1"/>
    </xf>
    <xf numFmtId="0" fontId="72" fillId="0" borderId="78" xfId="0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2" fontId="62" fillId="0" borderId="8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" fillId="2" borderId="0" xfId="0" applyFont="1" applyFill="1"/>
    <xf numFmtId="0" fontId="18" fillId="10" borderId="79" xfId="0" applyFont="1" applyFill="1" applyBorder="1"/>
    <xf numFmtId="0" fontId="18" fillId="10" borderId="197" xfId="0" applyFont="1" applyFill="1" applyBorder="1"/>
    <xf numFmtId="0" fontId="124" fillId="8" borderId="199" xfId="0" applyFont="1" applyFill="1" applyBorder="1"/>
    <xf numFmtId="43" fontId="124" fillId="2" borderId="199" xfId="13" applyFont="1" applyFill="1" applyBorder="1"/>
    <xf numFmtId="0" fontId="124" fillId="8" borderId="200" xfId="0" applyFont="1" applyFill="1" applyBorder="1"/>
    <xf numFmtId="0" fontId="124" fillId="8" borderId="46" xfId="0" applyFont="1" applyFill="1" applyBorder="1"/>
    <xf numFmtId="43" fontId="124" fillId="8" borderId="46" xfId="13" applyFont="1" applyFill="1" applyBorder="1"/>
    <xf numFmtId="0" fontId="124" fillId="8" borderId="11" xfId="0" applyFont="1" applyFill="1" applyBorder="1"/>
    <xf numFmtId="181" fontId="124" fillId="8" borderId="46" xfId="13" applyNumberFormat="1" applyFont="1" applyFill="1" applyBorder="1"/>
    <xf numFmtId="0" fontId="124" fillId="8" borderId="101" xfId="0" applyFont="1" applyFill="1" applyBorder="1"/>
    <xf numFmtId="43" fontId="124" fillId="8" borderId="101" xfId="13" applyFont="1" applyFill="1" applyBorder="1"/>
    <xf numFmtId="0" fontId="124" fillId="8" borderId="15" xfId="0" applyFont="1" applyFill="1" applyBorder="1"/>
    <xf numFmtId="0" fontId="1" fillId="2" borderId="0" xfId="0" applyFont="1" applyFill="1" applyAlignment="1">
      <alignment horizontal="center"/>
    </xf>
    <xf numFmtId="0" fontId="61" fillId="18" borderId="8" xfId="71" applyFont="1" applyFill="1" applyBorder="1" applyAlignment="1">
      <alignment horizontal="center" vertical="center"/>
    </xf>
    <xf numFmtId="0" fontId="74" fillId="0" borderId="99" xfId="71" applyFont="1" applyBorder="1" applyAlignment="1">
      <alignment horizontal="center" vertical="center"/>
    </xf>
    <xf numFmtId="0" fontId="74" fillId="0" borderId="18" xfId="71" applyFont="1" applyBorder="1" applyAlignment="1">
      <alignment horizontal="center" vertical="center"/>
    </xf>
    <xf numFmtId="0" fontId="74" fillId="0" borderId="19" xfId="71" applyFont="1" applyBorder="1" applyAlignment="1">
      <alignment horizontal="center" vertical="center"/>
    </xf>
    <xf numFmtId="0" fontId="74" fillId="0" borderId="7" xfId="71" applyFont="1" applyBorder="1" applyAlignment="1">
      <alignment horizontal="center" vertical="center"/>
    </xf>
    <xf numFmtId="0" fontId="18" fillId="10" borderId="196" xfId="0" applyFont="1" applyFill="1" applyBorder="1" applyAlignment="1">
      <alignment horizontal="center"/>
    </xf>
    <xf numFmtId="0" fontId="124" fillId="8" borderId="198" xfId="0" applyFont="1" applyFill="1" applyBorder="1" applyAlignment="1">
      <alignment horizontal="center"/>
    </xf>
    <xf numFmtId="0" fontId="124" fillId="8" borderId="10" xfId="0" applyFont="1" applyFill="1" applyBorder="1" applyAlignment="1">
      <alignment horizontal="center"/>
    </xf>
    <xf numFmtId="0" fontId="124" fillId="8" borderId="14" xfId="0" applyFont="1" applyFill="1" applyBorder="1" applyAlignment="1">
      <alignment horizontal="center"/>
    </xf>
    <xf numFmtId="182" fontId="65" fillId="0" borderId="78" xfId="13" applyNumberFormat="1" applyFont="1" applyBorder="1" applyAlignment="1">
      <alignment horizontal="center" vertical="center" wrapText="1"/>
    </xf>
    <xf numFmtId="2" fontId="68" fillId="0" borderId="0" xfId="0" applyNumberFormat="1" applyFont="1" applyAlignment="1">
      <alignment horizontal="center" vertical="center"/>
    </xf>
    <xf numFmtId="0" fontId="61" fillId="18" borderId="16" xfId="71" applyFont="1" applyFill="1" applyBorder="1" applyAlignment="1">
      <alignment horizontal="center" vertical="center"/>
    </xf>
    <xf numFmtId="43" fontId="3" fillId="0" borderId="0" xfId="71" applyNumberFormat="1" applyAlignment="1">
      <alignment horizontal="center" vertical="center"/>
    </xf>
    <xf numFmtId="0" fontId="62" fillId="10" borderId="105" xfId="0" applyFont="1" applyFill="1" applyBorder="1" applyAlignment="1">
      <alignment horizontal="center" vertical="center"/>
    </xf>
    <xf numFmtId="0" fontId="62" fillId="10" borderId="105" xfId="0" applyFont="1" applyFill="1" applyBorder="1" applyAlignment="1">
      <alignment vertical="center"/>
    </xf>
    <xf numFmtId="0" fontId="68" fillId="2" borderId="105" xfId="0" applyFont="1" applyFill="1" applyBorder="1" applyAlignment="1">
      <alignment horizontal="center" vertical="center"/>
    </xf>
    <xf numFmtId="43" fontId="68" fillId="2" borderId="105" xfId="13" applyFont="1" applyFill="1" applyBorder="1" applyAlignment="1">
      <alignment horizontal="center" vertical="center"/>
    </xf>
    <xf numFmtId="43" fontId="68" fillId="2" borderId="105" xfId="13" applyFont="1" applyFill="1" applyBorder="1" applyAlignment="1">
      <alignment horizontal="center"/>
    </xf>
    <xf numFmtId="2" fontId="67" fillId="2" borderId="105" xfId="0" applyNumberFormat="1" applyFont="1" applyFill="1" applyBorder="1" applyAlignment="1">
      <alignment horizontal="center" vertical="top"/>
    </xf>
    <xf numFmtId="177" fontId="92" fillId="2" borderId="105" xfId="0" applyNumberFormat="1" applyFont="1" applyFill="1" applyBorder="1" applyAlignment="1">
      <alignment horizontal="center" vertical="top"/>
    </xf>
    <xf numFmtId="2" fontId="92" fillId="2" borderId="105" xfId="0" applyNumberFormat="1" applyFont="1" applyFill="1" applyBorder="1" applyAlignment="1">
      <alignment horizontal="center" vertical="top"/>
    </xf>
    <xf numFmtId="169" fontId="92" fillId="2" borderId="105" xfId="0" applyNumberFormat="1" applyFont="1" applyFill="1" applyBorder="1" applyAlignment="1">
      <alignment horizontal="center" vertical="top"/>
    </xf>
    <xf numFmtId="0" fontId="68" fillId="2" borderId="105" xfId="0" applyFont="1" applyFill="1" applyBorder="1" applyAlignment="1">
      <alignment horizontal="center"/>
    </xf>
    <xf numFmtId="43" fontId="62" fillId="2" borderId="0" xfId="0" applyNumberFormat="1" applyFont="1" applyFill="1" applyBorder="1" applyAlignment="1">
      <alignment horizontal="center" wrapText="1"/>
    </xf>
    <xf numFmtId="0" fontId="125" fillId="2" borderId="0" xfId="0" applyFont="1" applyFill="1" applyBorder="1" applyAlignment="1">
      <alignment horizontal="center" wrapText="1"/>
    </xf>
    <xf numFmtId="0" fontId="124" fillId="8" borderId="81" xfId="0" applyFont="1" applyFill="1" applyBorder="1"/>
    <xf numFmtId="43" fontId="124" fillId="8" borderId="81" xfId="13" applyFont="1" applyFill="1" applyBorder="1"/>
    <xf numFmtId="0" fontId="124" fillId="8" borderId="13" xfId="0" applyFont="1" applyFill="1" applyBorder="1"/>
    <xf numFmtId="0" fontId="124" fillId="8" borderId="46" xfId="0" applyFont="1" applyFill="1" applyBorder="1" applyAlignment="1">
      <alignment vertical="center"/>
    </xf>
    <xf numFmtId="43" fontId="124" fillId="8" borderId="46" xfId="13" applyFont="1" applyFill="1" applyBorder="1" applyAlignment="1">
      <alignment vertical="center"/>
    </xf>
    <xf numFmtId="0" fontId="124" fillId="8" borderId="11" xfId="0" applyFont="1" applyFill="1" applyBorder="1" applyAlignment="1">
      <alignment vertical="center" wrapText="1"/>
    </xf>
    <xf numFmtId="43" fontId="124" fillId="2" borderId="46" xfId="13" applyFont="1" applyFill="1" applyBorder="1"/>
    <xf numFmtId="0" fontId="126" fillId="8" borderId="11" xfId="0" applyFont="1" applyFill="1" applyBorder="1"/>
    <xf numFmtId="0" fontId="124" fillId="8" borderId="201" xfId="0" applyFont="1" applyFill="1" applyBorder="1"/>
    <xf numFmtId="0" fontId="18" fillId="10" borderId="8" xfId="0" applyFont="1" applyFill="1" applyBorder="1"/>
    <xf numFmtId="0" fontId="124" fillId="8" borderId="91" xfId="0" applyFont="1" applyFill="1" applyBorder="1"/>
    <xf numFmtId="0" fontId="124" fillId="8" borderId="202" xfId="0" applyFont="1" applyFill="1" applyBorder="1"/>
    <xf numFmtId="0" fontId="18" fillId="10" borderId="94" xfId="0" applyFont="1" applyFill="1" applyBorder="1"/>
    <xf numFmtId="0" fontId="18" fillId="10" borderId="9" xfId="0" applyFont="1" applyFill="1" applyBorder="1"/>
    <xf numFmtId="0" fontId="124" fillId="8" borderId="8" xfId="0" applyFont="1" applyFill="1" applyBorder="1"/>
    <xf numFmtId="0" fontId="124" fillId="8" borderId="203" xfId="0" applyFont="1" applyFill="1" applyBorder="1"/>
    <xf numFmtId="43" fontId="124" fillId="2" borderId="48" xfId="13" applyFont="1" applyFill="1" applyBorder="1"/>
    <xf numFmtId="0" fontId="124" fillId="8" borderId="48" xfId="0" applyFont="1" applyFill="1" applyBorder="1"/>
    <xf numFmtId="0" fontId="124" fillId="8" borderId="49" xfId="0" applyFont="1" applyFill="1" applyBorder="1"/>
    <xf numFmtId="0" fontId="117" fillId="0" borderId="143" xfId="8" applyFont="1" applyFill="1" applyBorder="1" applyAlignment="1">
      <alignment horizontal="center"/>
    </xf>
    <xf numFmtId="43" fontId="0" fillId="0" borderId="0" xfId="0" applyNumberFormat="1"/>
    <xf numFmtId="2" fontId="106" fillId="0" borderId="0" xfId="8" applyNumberFormat="1" applyFont="1" applyBorder="1" applyAlignment="1">
      <alignment horizontal="right" vertical="center"/>
    </xf>
    <xf numFmtId="2" fontId="112" fillId="0" borderId="0" xfId="8" applyNumberFormat="1" applyFont="1" applyFill="1" applyBorder="1" applyAlignment="1">
      <alignment horizontal="right" vertical="center"/>
    </xf>
    <xf numFmtId="3" fontId="25" fillId="10" borderId="27" xfId="13" applyNumberFormat="1" applyFont="1" applyFill="1" applyBorder="1" applyAlignment="1">
      <alignment horizontal="center" vertical="center"/>
    </xf>
    <xf numFmtId="3" fontId="25" fillId="10" borderId="53" xfId="13" applyNumberFormat="1" applyFont="1" applyFill="1" applyBorder="1" applyAlignment="1">
      <alignment horizontal="center" vertical="center" wrapText="1"/>
    </xf>
    <xf numFmtId="0" fontId="61" fillId="18" borderId="16" xfId="71" applyFont="1" applyFill="1" applyBorder="1" applyAlignment="1">
      <alignment horizontal="center" vertical="center"/>
    </xf>
    <xf numFmtId="0" fontId="61" fillId="18" borderId="78" xfId="71" applyFont="1" applyFill="1" applyBorder="1" applyAlignment="1">
      <alignment horizontal="center" vertical="center" wrapText="1"/>
    </xf>
    <xf numFmtId="0" fontId="83" fillId="18" borderId="78" xfId="71" applyFont="1" applyFill="1" applyBorder="1" applyAlignment="1">
      <alignment horizontal="center" vertical="center" wrapText="1"/>
    </xf>
    <xf numFmtId="0" fontId="83" fillId="18" borderId="84" xfId="71" applyFont="1" applyFill="1" applyBorder="1" applyAlignment="1">
      <alignment horizontal="center" vertical="center" wrapText="1"/>
    </xf>
    <xf numFmtId="0" fontId="83" fillId="18" borderId="105" xfId="71" applyFont="1" applyFill="1" applyBorder="1" applyAlignment="1">
      <alignment horizontal="center" vertical="center" wrapText="1"/>
    </xf>
    <xf numFmtId="0" fontId="114" fillId="54" borderId="133" xfId="8" applyFont="1" applyFill="1" applyBorder="1" applyAlignment="1">
      <alignment horizontal="center" vertical="center" wrapText="1"/>
    </xf>
    <xf numFmtId="0" fontId="106" fillId="60" borderId="112" xfId="8" applyFont="1" applyFill="1" applyBorder="1" applyAlignment="1">
      <alignment horizontal="right" vertical="center"/>
    </xf>
    <xf numFmtId="2" fontId="65" fillId="0" borderId="78" xfId="0" applyNumberFormat="1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 wrapText="1"/>
    </xf>
    <xf numFmtId="2" fontId="63" fillId="0" borderId="78" xfId="0" applyNumberFormat="1" applyFont="1" applyBorder="1" applyAlignment="1">
      <alignment horizontal="center" vertical="center" wrapText="1"/>
    </xf>
    <xf numFmtId="171" fontId="26" fillId="2" borderId="62" xfId="13" applyNumberFormat="1" applyFont="1" applyFill="1" applyBorder="1" applyAlignment="1">
      <alignment horizontal="center" vertical="center" wrapText="1"/>
    </xf>
    <xf numFmtId="0" fontId="54" fillId="52" borderId="204" xfId="0" applyFont="1" applyFill="1" applyBorder="1" applyAlignment="1">
      <alignment horizontal="right" vertical="center"/>
    </xf>
    <xf numFmtId="0" fontId="54" fillId="52" borderId="103" xfId="0" applyFont="1" applyFill="1" applyBorder="1" applyAlignment="1">
      <alignment horizontal="right" vertical="center"/>
    </xf>
    <xf numFmtId="0" fontId="54" fillId="52" borderId="104" xfId="0" applyFont="1" applyFill="1" applyBorder="1" applyAlignment="1">
      <alignment horizontal="right" vertical="center"/>
    </xf>
    <xf numFmtId="0" fontId="54" fillId="52" borderId="205" xfId="0" applyFont="1" applyFill="1" applyBorder="1" applyAlignment="1">
      <alignment horizontal="right" vertical="center"/>
    </xf>
    <xf numFmtId="0" fontId="54" fillId="52" borderId="206" xfId="0" applyFont="1" applyFill="1" applyBorder="1" applyAlignment="1">
      <alignment horizontal="right" vertical="center"/>
    </xf>
    <xf numFmtId="1" fontId="17" fillId="0" borderId="103" xfId="65" applyNumberFormat="1" applyFont="1" applyBorder="1" applyAlignment="1">
      <alignment horizontal="center" vertical="center"/>
    </xf>
    <xf numFmtId="1" fontId="17" fillId="0" borderId="104" xfId="65" applyNumberFormat="1" applyFont="1" applyBorder="1" applyAlignment="1">
      <alignment horizontal="center" vertical="center"/>
    </xf>
    <xf numFmtId="3" fontId="9" fillId="0" borderId="103" xfId="0" applyNumberFormat="1" applyFont="1" applyBorder="1" applyAlignment="1">
      <alignment horizontal="center" vertical="center"/>
    </xf>
    <xf numFmtId="3" fontId="9" fillId="0" borderId="104" xfId="0" applyNumberFormat="1" applyFont="1" applyBorder="1" applyAlignment="1">
      <alignment horizontal="center" vertical="center"/>
    </xf>
    <xf numFmtId="3" fontId="54" fillId="52" borderId="207" xfId="0" applyNumberFormat="1" applyFont="1" applyFill="1" applyBorder="1" applyAlignment="1">
      <alignment horizontal="right" vertical="center"/>
    </xf>
    <xf numFmtId="3" fontId="54" fillId="52" borderId="118" xfId="0" applyNumberFormat="1" applyFont="1" applyFill="1" applyBorder="1" applyAlignment="1">
      <alignment horizontal="right" vertical="center"/>
    </xf>
    <xf numFmtId="0" fontId="54" fillId="52" borderId="208" xfId="0" applyFont="1" applyFill="1" applyBorder="1" applyAlignment="1">
      <alignment horizontal="right" vertical="center"/>
    </xf>
    <xf numFmtId="0" fontId="61" fillId="18" borderId="16" xfId="71" applyFont="1" applyFill="1" applyBorder="1" applyAlignment="1">
      <alignment horizontal="center" vertical="center"/>
    </xf>
    <xf numFmtId="2" fontId="65" fillId="0" borderId="78" xfId="0" applyNumberFormat="1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 wrapText="1"/>
    </xf>
    <xf numFmtId="2" fontId="63" fillId="0" borderId="78" xfId="0" applyNumberFormat="1" applyFont="1" applyBorder="1" applyAlignment="1">
      <alignment horizontal="center" vertical="center" wrapText="1"/>
    </xf>
    <xf numFmtId="4" fontId="20" fillId="0" borderId="115" xfId="8" applyNumberFormat="1" applyFont="1" applyFill="1" applyBorder="1" applyAlignment="1" applyProtection="1">
      <alignment horizontal="right" vertical="center"/>
      <protection locked="0"/>
    </xf>
    <xf numFmtId="4" fontId="20" fillId="0" borderId="105" xfId="8" applyNumberFormat="1" applyFont="1" applyFill="1" applyBorder="1" applyAlignment="1" applyProtection="1">
      <alignment horizontal="right" vertical="center"/>
      <protection locked="0"/>
    </xf>
    <xf numFmtId="4" fontId="20" fillId="0" borderId="142" xfId="8" applyNumberFormat="1" applyFont="1" applyFill="1" applyBorder="1" applyAlignment="1" applyProtection="1">
      <alignment horizontal="right" vertical="center"/>
      <protection locked="0"/>
    </xf>
    <xf numFmtId="4" fontId="20" fillId="0" borderId="130" xfId="8" applyNumberFormat="1" applyFont="1" applyFill="1" applyBorder="1" applyAlignment="1" applyProtection="1">
      <alignment horizontal="right" vertical="center"/>
      <protection locked="0"/>
    </xf>
    <xf numFmtId="4" fontId="20" fillId="0" borderId="143" xfId="8" applyNumberFormat="1" applyFont="1" applyFill="1" applyBorder="1" applyAlignment="1" applyProtection="1">
      <alignment horizontal="right" vertical="center"/>
      <protection locked="0"/>
    </xf>
    <xf numFmtId="4" fontId="20" fillId="0" borderId="50" xfId="8" applyNumberFormat="1" applyFont="1" applyFill="1" applyBorder="1" applyAlignment="1" applyProtection="1">
      <alignment horizontal="right" vertical="center"/>
      <protection locked="0"/>
    </xf>
    <xf numFmtId="4" fontId="20" fillId="0" borderId="146" xfId="8" applyNumberFormat="1" applyFont="1" applyFill="1" applyBorder="1" applyAlignment="1" applyProtection="1">
      <alignment horizontal="right" vertical="center"/>
      <protection locked="0"/>
    </xf>
    <xf numFmtId="4" fontId="20" fillId="0" borderId="51" xfId="8" applyNumberFormat="1" applyFont="1" applyFill="1" applyBorder="1" applyAlignment="1" applyProtection="1">
      <alignment horizontal="right" vertical="center"/>
      <protection locked="0"/>
    </xf>
    <xf numFmtId="4" fontId="20" fillId="0" borderId="147" xfId="8" applyNumberFormat="1" applyFont="1" applyFill="1" applyBorder="1" applyAlignment="1" applyProtection="1">
      <alignment horizontal="right" vertical="center"/>
      <protection locked="0"/>
    </xf>
    <xf numFmtId="4" fontId="20" fillId="0" borderId="148" xfId="8" applyNumberFormat="1" applyFont="1" applyFill="1" applyBorder="1" applyAlignment="1" applyProtection="1">
      <alignment horizontal="right" vertical="center"/>
      <protection locked="0"/>
    </xf>
    <xf numFmtId="4" fontId="20" fillId="56" borderId="86" xfId="8" applyNumberFormat="1" applyFont="1" applyFill="1" applyBorder="1" applyAlignment="1" applyProtection="1">
      <alignment horizontal="right" vertical="center"/>
      <protection locked="0"/>
    </xf>
    <xf numFmtId="4" fontId="20" fillId="56" borderId="149" xfId="8" applyNumberFormat="1" applyFont="1" applyFill="1" applyBorder="1" applyAlignment="1" applyProtection="1">
      <alignment horizontal="right" vertical="center"/>
      <protection locked="0"/>
    </xf>
    <xf numFmtId="4" fontId="20" fillId="55" borderId="150" xfId="8" applyNumberFormat="1" applyFont="1" applyFill="1" applyBorder="1" applyAlignment="1">
      <alignment horizontal="right" vertical="center"/>
    </xf>
    <xf numFmtId="4" fontId="20" fillId="56" borderId="50" xfId="8" applyNumberFormat="1" applyFont="1" applyFill="1" applyBorder="1" applyAlignment="1" applyProtection="1">
      <alignment horizontal="right" vertical="center"/>
      <protection locked="0"/>
    </xf>
    <xf numFmtId="4" fontId="20" fillId="56" borderId="145" xfId="8" applyNumberFormat="1" applyFont="1" applyFill="1" applyBorder="1" applyAlignment="1" applyProtection="1">
      <alignment horizontal="right" vertical="center"/>
      <protection locked="0"/>
    </xf>
    <xf numFmtId="4" fontId="112" fillId="56" borderId="192" xfId="8" applyNumberFormat="1" applyFont="1" applyFill="1" applyBorder="1" applyAlignment="1" applyProtection="1">
      <alignment horizontal="right" vertical="center"/>
      <protection locked="0"/>
    </xf>
    <xf numFmtId="4" fontId="112" fillId="56" borderId="152" xfId="8" applyNumberFormat="1" applyFont="1" applyFill="1" applyBorder="1" applyAlignment="1" applyProtection="1">
      <alignment horizontal="right" vertical="center"/>
      <protection locked="0"/>
    </xf>
    <xf numFmtId="2" fontId="65" fillId="61" borderId="78" xfId="0" applyNumberFormat="1" applyFont="1" applyFill="1" applyBorder="1" applyAlignment="1">
      <alignment horizontal="center" vertical="center" wrapText="1"/>
    </xf>
    <xf numFmtId="165" fontId="65" fillId="61" borderId="78" xfId="0" applyNumberFormat="1" applyFont="1" applyFill="1" applyBorder="1" applyAlignment="1">
      <alignment horizontal="center" vertical="center" wrapText="1"/>
    </xf>
    <xf numFmtId="165" fontId="68" fillId="61" borderId="78" xfId="0" applyNumberFormat="1" applyFont="1" applyFill="1" applyBorder="1" applyAlignment="1">
      <alignment horizontal="center" vertical="center" wrapText="1"/>
    </xf>
    <xf numFmtId="2" fontId="68" fillId="61" borderId="78" xfId="0" applyNumberFormat="1" applyFont="1" applyFill="1" applyBorder="1" applyAlignment="1">
      <alignment horizontal="center" vertical="center"/>
    </xf>
    <xf numFmtId="0" fontId="63" fillId="62" borderId="78" xfId="0" applyFont="1" applyFill="1" applyBorder="1" applyAlignment="1">
      <alignment horizontal="center" vertical="center" wrapText="1"/>
    </xf>
    <xf numFmtId="0" fontId="67" fillId="62" borderId="78" xfId="0" applyFont="1" applyFill="1" applyBorder="1" applyAlignment="1">
      <alignment horizontal="center" vertical="center" wrapText="1"/>
    </xf>
    <xf numFmtId="43" fontId="124" fillId="0" borderId="199" xfId="13" applyFont="1" applyFill="1" applyBorder="1"/>
    <xf numFmtId="0" fontId="63" fillId="63" borderId="78" xfId="0" applyFont="1" applyFill="1" applyBorder="1" applyAlignment="1">
      <alignment horizontal="center" vertical="center" wrapText="1"/>
    </xf>
    <xf numFmtId="43" fontId="124" fillId="11" borderId="199" xfId="13" applyFont="1" applyFill="1" applyBorder="1"/>
    <xf numFmtId="0" fontId="66" fillId="0" borderId="78" xfId="0" applyFont="1" applyFill="1" applyBorder="1" applyAlignment="1">
      <alignment horizontal="center" vertical="center" wrapText="1"/>
    </xf>
    <xf numFmtId="0" fontId="65" fillId="0" borderId="78" xfId="0" applyFont="1" applyFill="1" applyBorder="1" applyAlignment="1">
      <alignment horizontal="center" vertical="center" wrapText="1"/>
    </xf>
    <xf numFmtId="165" fontId="65" fillId="0" borderId="78" xfId="0" applyNumberFormat="1" applyFont="1" applyFill="1" applyBorder="1" applyAlignment="1">
      <alignment horizontal="center" vertical="center" wrapText="1"/>
    </xf>
    <xf numFmtId="2" fontId="65" fillId="0" borderId="78" xfId="0" applyNumberFormat="1" applyFont="1" applyFill="1" applyBorder="1" applyAlignment="1">
      <alignment horizontal="center" vertical="center" wrapText="1"/>
    </xf>
    <xf numFmtId="182" fontId="65" fillId="0" borderId="78" xfId="13" applyNumberFormat="1" applyFont="1" applyFill="1" applyBorder="1" applyAlignment="1">
      <alignment horizontal="center" vertical="center" wrapText="1"/>
    </xf>
    <xf numFmtId="0" fontId="63" fillId="0" borderId="105" xfId="0" applyFont="1" applyBorder="1" applyAlignment="1">
      <alignment horizontal="center" vertical="center" wrapText="1"/>
    </xf>
    <xf numFmtId="0" fontId="65" fillId="0" borderId="105" xfId="0" applyFont="1" applyBorder="1" applyAlignment="1">
      <alignment horizontal="center" vertical="center" wrapText="1"/>
    </xf>
    <xf numFmtId="0" fontId="66" fillId="0" borderId="105" xfId="0" applyFont="1" applyFill="1" applyBorder="1" applyAlignment="1">
      <alignment horizontal="center" vertical="center" wrapText="1"/>
    </xf>
    <xf numFmtId="165" fontId="65" fillId="0" borderId="105" xfId="0" applyNumberFormat="1" applyFont="1" applyFill="1" applyBorder="1" applyAlignment="1">
      <alignment horizontal="center" vertical="center" wrapText="1"/>
    </xf>
    <xf numFmtId="2" fontId="65" fillId="0" borderId="105" xfId="0" applyNumberFormat="1" applyFont="1" applyFill="1" applyBorder="1" applyAlignment="1">
      <alignment horizontal="center" vertical="center" wrapText="1"/>
    </xf>
    <xf numFmtId="2" fontId="66" fillId="0" borderId="78" xfId="0" applyNumberFormat="1" applyFont="1" applyFill="1" applyBorder="1" applyAlignment="1">
      <alignment horizontal="center" vertical="center"/>
    </xf>
    <xf numFmtId="2" fontId="66" fillId="0" borderId="78" xfId="0" applyNumberFormat="1" applyFont="1" applyFill="1" applyBorder="1" applyAlignment="1">
      <alignment horizontal="center" vertical="center" wrapText="1"/>
    </xf>
    <xf numFmtId="0" fontId="63" fillId="64" borderId="78" xfId="0" applyFont="1" applyFill="1" applyBorder="1" applyAlignment="1">
      <alignment horizontal="center" vertical="center" wrapText="1"/>
    </xf>
    <xf numFmtId="0" fontId="63" fillId="0" borderId="78" xfId="0" applyFont="1" applyFill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165" fontId="0" fillId="0" borderId="0" xfId="0" applyNumberFormat="1"/>
    <xf numFmtId="0" fontId="73" fillId="0" borderId="105" xfId="0" applyFont="1" applyBorder="1" applyAlignment="1">
      <alignment horizontal="center" vertical="center" wrapText="1"/>
    </xf>
    <xf numFmtId="2" fontId="73" fillId="0" borderId="105" xfId="0" applyNumberFormat="1" applyFont="1" applyBorder="1" applyAlignment="1">
      <alignment horizontal="center" vertical="center"/>
    </xf>
    <xf numFmtId="2" fontId="73" fillId="0" borderId="105" xfId="0" applyNumberFormat="1" applyFont="1" applyBorder="1" applyAlignment="1">
      <alignment horizontal="center" vertical="center" wrapText="1"/>
    </xf>
    <xf numFmtId="0" fontId="73" fillId="0" borderId="105" xfId="0" applyFont="1" applyFill="1" applyBorder="1" applyAlignment="1">
      <alignment horizontal="center" vertical="center" wrapText="1"/>
    </xf>
    <xf numFmtId="0" fontId="67" fillId="0" borderId="78" xfId="0" applyFont="1" applyFill="1" applyBorder="1" applyAlignment="1">
      <alignment horizontal="center" vertical="center" wrapText="1"/>
    </xf>
    <xf numFmtId="0" fontId="67" fillId="0" borderId="105" xfId="0" applyFont="1" applyFill="1" applyBorder="1" applyAlignment="1">
      <alignment horizontal="center" vertical="center" wrapText="1"/>
    </xf>
    <xf numFmtId="0" fontId="63" fillId="0" borderId="105" xfId="0" applyFont="1" applyFill="1" applyBorder="1" applyAlignment="1">
      <alignment horizontal="center" vertical="center" wrapText="1"/>
    </xf>
    <xf numFmtId="165" fontId="68" fillId="0" borderId="78" xfId="0" applyNumberFormat="1" applyFont="1" applyFill="1" applyBorder="1" applyAlignment="1">
      <alignment horizontal="center" vertical="center" wrapText="1"/>
    </xf>
    <xf numFmtId="2" fontId="68" fillId="0" borderId="78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2" fontId="68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5" fillId="0" borderId="78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165" fontId="62" fillId="0" borderId="0" xfId="0" applyNumberFormat="1" applyFont="1"/>
    <xf numFmtId="43" fontId="3" fillId="0" borderId="0" xfId="71" applyNumberFormat="1"/>
    <xf numFmtId="0" fontId="25" fillId="0" borderId="0" xfId="0" applyFont="1" applyFill="1" applyBorder="1" applyAlignment="1">
      <alignment horizontal="center" vertical="center" wrapText="1"/>
    </xf>
    <xf numFmtId="0" fontId="127" fillId="0" borderId="56" xfId="0" applyFont="1" applyBorder="1" applyProtection="1">
      <protection hidden="1"/>
    </xf>
    <xf numFmtId="2" fontId="127" fillId="0" borderId="80" xfId="0" applyNumberFormat="1" applyFont="1" applyBorder="1" applyProtection="1">
      <protection hidden="1"/>
    </xf>
    <xf numFmtId="177" fontId="127" fillId="0" borderId="80" xfId="0" applyNumberFormat="1" applyFont="1" applyBorder="1" applyProtection="1">
      <protection hidden="1"/>
    </xf>
    <xf numFmtId="183" fontId="127" fillId="0" borderId="80" xfId="0" applyNumberFormat="1" applyFont="1" applyBorder="1" applyProtection="1">
      <protection hidden="1"/>
    </xf>
    <xf numFmtId="178" fontId="127" fillId="0" borderId="57" xfId="0" applyNumberFormat="1" applyFont="1" applyBorder="1" applyProtection="1">
      <protection hidden="1"/>
    </xf>
    <xf numFmtId="2" fontId="65" fillId="0" borderId="105" xfId="0" applyNumberFormat="1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2" fontId="73" fillId="0" borderId="0" xfId="0" applyNumberFormat="1" applyFont="1" applyBorder="1" applyAlignment="1">
      <alignment horizontal="center" vertical="center"/>
    </xf>
    <xf numFmtId="2" fontId="73" fillId="0" borderId="0" xfId="0" applyNumberFormat="1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2" fontId="65" fillId="0" borderId="0" xfId="0" applyNumberFormat="1" applyFont="1" applyBorder="1" applyAlignment="1">
      <alignment horizontal="center" vertical="center"/>
    </xf>
    <xf numFmtId="0" fontId="128" fillId="0" borderId="0" xfId="0" applyFont="1" applyAlignment="1">
      <alignment vertical="center"/>
    </xf>
    <xf numFmtId="0" fontId="60" fillId="0" borderId="0" xfId="0" applyFont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10" fontId="68" fillId="2" borderId="78" xfId="17" applyNumberFormat="1" applyFont="1" applyFill="1" applyBorder="1" applyAlignment="1">
      <alignment horizontal="center"/>
    </xf>
    <xf numFmtId="1" fontId="73" fillId="0" borderId="105" xfId="0" applyNumberFormat="1" applyFont="1" applyBorder="1" applyAlignment="1">
      <alignment horizontal="center" vertical="center"/>
    </xf>
    <xf numFmtId="0" fontId="25" fillId="0" borderId="210" xfId="0" applyFont="1" applyFill="1" applyBorder="1" applyAlignment="1">
      <alignment horizontal="center" vertical="center" wrapText="1"/>
    </xf>
    <xf numFmtId="0" fontId="25" fillId="0" borderId="209" xfId="0" applyFont="1" applyFill="1" applyBorder="1" applyAlignment="1">
      <alignment horizontal="center" vertical="center" wrapText="1"/>
    </xf>
    <xf numFmtId="0" fontId="131" fillId="18" borderId="7" xfId="0" applyFont="1" applyFill="1" applyBorder="1" applyAlignment="1">
      <alignment horizontal="center" vertical="center" wrapText="1"/>
    </xf>
    <xf numFmtId="0" fontId="129" fillId="52" borderId="7" xfId="0" applyFont="1" applyFill="1" applyBorder="1" applyAlignment="1">
      <alignment horizontal="center" vertical="center" wrapText="1"/>
    </xf>
    <xf numFmtId="0" fontId="132" fillId="52" borderId="7" xfId="0" applyFont="1" applyFill="1" applyBorder="1" applyAlignment="1">
      <alignment horizontal="center" vertical="center" wrapText="1"/>
    </xf>
    <xf numFmtId="2" fontId="132" fillId="52" borderId="7" xfId="0" applyNumberFormat="1" applyFont="1" applyFill="1" applyBorder="1" applyAlignment="1">
      <alignment horizontal="center" vertical="center" wrapText="1"/>
    </xf>
    <xf numFmtId="0" fontId="26" fillId="52" borderId="7" xfId="0" applyFont="1" applyFill="1" applyBorder="1" applyAlignment="1">
      <alignment horizontal="center" vertical="center" wrapText="1"/>
    </xf>
    <xf numFmtId="0" fontId="129" fillId="0" borderId="210" xfId="0" applyFont="1" applyFill="1" applyBorder="1" applyAlignment="1">
      <alignment horizontal="center" vertical="center" wrapText="1"/>
    </xf>
    <xf numFmtId="0" fontId="129" fillId="0" borderId="0" xfId="0" applyFont="1" applyFill="1" applyBorder="1" applyAlignment="1">
      <alignment horizontal="center" vertical="center" wrapText="1"/>
    </xf>
    <xf numFmtId="0" fontId="129" fillId="0" borderId="209" xfId="0" applyFont="1" applyFill="1" applyBorder="1" applyAlignment="1">
      <alignment horizontal="center" vertical="center" wrapText="1"/>
    </xf>
    <xf numFmtId="0" fontId="129" fillId="18" borderId="7" xfId="0" applyFont="1" applyFill="1" applyBorder="1" applyAlignment="1">
      <alignment horizontal="center" vertical="center" wrapText="1"/>
    </xf>
    <xf numFmtId="4" fontId="73" fillId="52" borderId="7" xfId="0" applyNumberFormat="1" applyFont="1" applyFill="1" applyBorder="1" applyAlignment="1">
      <alignment horizontal="center" vertical="center" wrapText="1"/>
    </xf>
    <xf numFmtId="4" fontId="132" fillId="52" borderId="7" xfId="0" applyNumberFormat="1" applyFont="1" applyFill="1" applyBorder="1" applyAlignment="1">
      <alignment horizontal="center" vertical="center" wrapText="1"/>
    </xf>
    <xf numFmtId="2" fontId="134" fillId="0" borderId="105" xfId="0" applyNumberFormat="1" applyFont="1" applyBorder="1" applyProtection="1">
      <protection hidden="1"/>
    </xf>
    <xf numFmtId="176" fontId="134" fillId="0" borderId="105" xfId="0" applyNumberFormat="1" applyFont="1" applyBorder="1" applyProtection="1">
      <protection hidden="1"/>
    </xf>
    <xf numFmtId="2" fontId="134" fillId="18" borderId="16" xfId="0" applyNumberFormat="1" applyFont="1" applyFill="1" applyBorder="1" applyProtection="1">
      <protection hidden="1"/>
    </xf>
    <xf numFmtId="0" fontId="135" fillId="18" borderId="17" xfId="0" applyFont="1" applyFill="1" applyBorder="1" applyProtection="1">
      <protection hidden="1"/>
    </xf>
    <xf numFmtId="0" fontId="134" fillId="18" borderId="17" xfId="0" applyFont="1" applyFill="1" applyBorder="1" applyProtection="1">
      <protection hidden="1"/>
    </xf>
    <xf numFmtId="0" fontId="134" fillId="18" borderId="18" xfId="0" applyFont="1" applyFill="1" applyBorder="1" applyProtection="1">
      <protection hidden="1"/>
    </xf>
    <xf numFmtId="2" fontId="134" fillId="0" borderId="91" xfId="0" applyNumberFormat="1" applyFont="1" applyBorder="1" applyProtection="1">
      <protection hidden="1"/>
    </xf>
    <xf numFmtId="0" fontId="134" fillId="0" borderId="0" xfId="0" applyFont="1" applyAlignment="1" applyProtection="1">
      <alignment horizontal="right"/>
      <protection hidden="1"/>
    </xf>
    <xf numFmtId="0" fontId="134" fillId="0" borderId="0" xfId="0" applyFont="1" applyProtection="1">
      <protection hidden="1"/>
    </xf>
    <xf numFmtId="0" fontId="134" fillId="0" borderId="99" xfId="0" applyFont="1" applyBorder="1" applyProtection="1">
      <protection hidden="1"/>
    </xf>
    <xf numFmtId="0" fontId="134" fillId="0" borderId="91" xfId="0" applyFont="1" applyBorder="1" applyProtection="1">
      <protection hidden="1"/>
    </xf>
    <xf numFmtId="0" fontId="135" fillId="18" borderId="105" xfId="0" applyFont="1" applyFill="1" applyBorder="1" applyAlignment="1" applyProtection="1">
      <alignment horizontal="center"/>
      <protection hidden="1"/>
    </xf>
    <xf numFmtId="2" fontId="135" fillId="18" borderId="105" xfId="0" applyNumberFormat="1" applyFont="1" applyFill="1" applyBorder="1" applyAlignment="1" applyProtection="1">
      <alignment horizontal="center"/>
      <protection hidden="1"/>
    </xf>
    <xf numFmtId="0" fontId="135" fillId="18" borderId="106" xfId="0" applyFont="1" applyFill="1" applyBorder="1" applyAlignment="1" applyProtection="1">
      <alignment horizontal="center"/>
      <protection hidden="1"/>
    </xf>
    <xf numFmtId="0" fontId="135" fillId="18" borderId="107" xfId="0" applyFont="1" applyFill="1" applyBorder="1"/>
    <xf numFmtId="169" fontId="134" fillId="0" borderId="106" xfId="0" applyNumberFormat="1" applyFont="1" applyBorder="1" applyProtection="1">
      <protection hidden="1"/>
    </xf>
    <xf numFmtId="0" fontId="68" fillId="18" borderId="27" xfId="0" applyFont="1" applyFill="1" applyBorder="1" applyAlignment="1">
      <alignment horizontal="center" vertical="center" wrapText="1"/>
    </xf>
    <xf numFmtId="0" fontId="68" fillId="18" borderId="28" xfId="0" applyFont="1" applyFill="1" applyBorder="1" applyAlignment="1">
      <alignment horizontal="center" vertical="center" wrapText="1"/>
    </xf>
    <xf numFmtId="0" fontId="68" fillId="18" borderId="52" xfId="0" applyFont="1" applyFill="1" applyBorder="1" applyAlignment="1">
      <alignment horizontal="center" vertical="center" wrapText="1"/>
    </xf>
    <xf numFmtId="0" fontId="68" fillId="18" borderId="29" xfId="0" applyFont="1" applyFill="1" applyBorder="1" applyAlignment="1">
      <alignment horizontal="center" vertical="center" wrapText="1"/>
    </xf>
    <xf numFmtId="2" fontId="65" fillId="0" borderId="78" xfId="0" applyNumberFormat="1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70" fillId="0" borderId="105" xfId="0" applyFont="1" applyBorder="1" applyAlignment="1">
      <alignment horizontal="center" vertical="center"/>
    </xf>
    <xf numFmtId="0" fontId="122" fillId="0" borderId="105" xfId="0" applyFont="1" applyBorder="1" applyAlignment="1">
      <alignment horizontal="center" vertical="center" wrapText="1"/>
    </xf>
    <xf numFmtId="2" fontId="71" fillId="0" borderId="105" xfId="0" applyNumberFormat="1" applyFont="1" applyBorder="1" applyAlignment="1">
      <alignment horizontal="center" vertical="center"/>
    </xf>
    <xf numFmtId="165" fontId="65" fillId="0" borderId="105" xfId="0" applyNumberFormat="1" applyFont="1" applyBorder="1" applyAlignment="1">
      <alignment horizontal="center" vertical="center" wrapText="1"/>
    </xf>
    <xf numFmtId="44" fontId="0" fillId="0" borderId="0" xfId="0" applyNumberFormat="1"/>
    <xf numFmtId="1" fontId="18" fillId="0" borderId="0" xfId="17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20" borderId="80" xfId="0" applyFont="1" applyFill="1" applyBorder="1" applyAlignment="1">
      <alignment horizontal="center" vertical="center"/>
    </xf>
    <xf numFmtId="0" fontId="18" fillId="20" borderId="57" xfId="0" applyFont="1" applyFill="1" applyBorder="1" applyAlignment="1">
      <alignment horizontal="center" vertical="center"/>
    </xf>
    <xf numFmtId="170" fontId="18" fillId="10" borderId="53" xfId="17" applyNumberFormat="1" applyFont="1" applyFill="1" applyBorder="1" applyAlignment="1">
      <alignment horizontal="center" vertical="center"/>
    </xf>
    <xf numFmtId="170" fontId="18" fillId="10" borderId="60" xfId="17" applyNumberFormat="1" applyFont="1" applyFill="1" applyBorder="1" applyAlignment="1">
      <alignment horizontal="center" vertical="center"/>
    </xf>
    <xf numFmtId="170" fontId="18" fillId="10" borderId="61" xfId="17" applyNumberFormat="1" applyFont="1" applyFill="1" applyBorder="1" applyAlignment="1">
      <alignment horizontal="center" vertical="center"/>
    </xf>
    <xf numFmtId="0" fontId="18" fillId="18" borderId="16" xfId="0" applyFont="1" applyFill="1" applyBorder="1" applyAlignment="1">
      <alignment horizontal="left" vertical="center"/>
    </xf>
    <xf numFmtId="0" fontId="18" fillId="18" borderId="17" xfId="0" applyFont="1" applyFill="1" applyBorder="1" applyAlignment="1">
      <alignment horizontal="left" vertical="center"/>
    </xf>
    <xf numFmtId="0" fontId="18" fillId="18" borderId="18" xfId="0" applyFont="1" applyFill="1" applyBorder="1" applyAlignment="1">
      <alignment horizontal="left" vertical="center"/>
    </xf>
    <xf numFmtId="0" fontId="18" fillId="10" borderId="27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3" fontId="25" fillId="10" borderId="27" xfId="13" applyNumberFormat="1" applyFont="1" applyFill="1" applyBorder="1" applyAlignment="1">
      <alignment horizontal="center" vertical="center"/>
    </xf>
    <xf numFmtId="3" fontId="25" fillId="10" borderId="28" xfId="13" applyNumberFormat="1" applyFont="1" applyFill="1" applyBorder="1" applyAlignment="1">
      <alignment horizontal="center" vertical="center"/>
    </xf>
    <xf numFmtId="3" fontId="25" fillId="10" borderId="53" xfId="13" applyNumberFormat="1" applyFont="1" applyFill="1" applyBorder="1" applyAlignment="1">
      <alignment horizontal="center" vertical="center" wrapText="1"/>
    </xf>
    <xf numFmtId="3" fontId="25" fillId="10" borderId="60" xfId="13" applyNumberFormat="1" applyFont="1" applyFill="1" applyBorder="1" applyAlignment="1">
      <alignment horizontal="center" vertical="center" wrapText="1"/>
    </xf>
    <xf numFmtId="3" fontId="25" fillId="10" borderId="58" xfId="13" applyNumberFormat="1" applyFont="1" applyFill="1" applyBorder="1" applyAlignment="1">
      <alignment horizontal="center" vertical="center" wrapText="1"/>
    </xf>
    <xf numFmtId="3" fontId="25" fillId="10" borderId="62" xfId="13" applyNumberFormat="1" applyFont="1" applyFill="1" applyBorder="1" applyAlignment="1">
      <alignment horizontal="center" vertical="center" wrapText="1"/>
    </xf>
    <xf numFmtId="3" fontId="25" fillId="10" borderId="196" xfId="13" applyNumberFormat="1" applyFont="1" applyFill="1" applyBorder="1" applyAlignment="1">
      <alignment horizontal="center" vertical="center"/>
    </xf>
    <xf numFmtId="3" fontId="25" fillId="10" borderId="68" xfId="13" applyNumberFormat="1" applyFont="1" applyFill="1" applyBorder="1" applyAlignment="1">
      <alignment horizontal="center" vertical="center"/>
    </xf>
    <xf numFmtId="0" fontId="18" fillId="18" borderId="16" xfId="0" applyFont="1" applyFill="1" applyBorder="1" applyAlignment="1">
      <alignment horizontal="center" vertical="center"/>
    </xf>
    <xf numFmtId="0" fontId="18" fillId="18" borderId="17" xfId="0" applyFont="1" applyFill="1" applyBorder="1" applyAlignment="1">
      <alignment horizontal="center" vertical="center"/>
    </xf>
    <xf numFmtId="0" fontId="18" fillId="18" borderId="18" xfId="0" applyFont="1" applyFill="1" applyBorder="1" applyAlignment="1">
      <alignment horizontal="center" vertical="center"/>
    </xf>
    <xf numFmtId="0" fontId="34" fillId="18" borderId="16" xfId="0" applyFont="1" applyFill="1" applyBorder="1" applyAlignment="1">
      <alignment horizontal="center" vertical="center"/>
    </xf>
    <xf numFmtId="0" fontId="34" fillId="18" borderId="18" xfId="0" applyFont="1" applyFill="1" applyBorder="1" applyAlignment="1">
      <alignment horizontal="center" vertical="center"/>
    </xf>
    <xf numFmtId="0" fontId="0" fillId="14" borderId="44" xfId="0" applyFill="1" applyBorder="1"/>
    <xf numFmtId="0" fontId="0" fillId="14" borderId="45" xfId="0" applyFill="1" applyBorder="1"/>
    <xf numFmtId="2" fontId="25" fillId="16" borderId="36" xfId="0" applyNumberFormat="1" applyFont="1" applyFill="1" applyBorder="1" applyAlignment="1">
      <alignment horizontal="center" vertical="center" wrapText="1"/>
    </xf>
    <xf numFmtId="0" fontId="25" fillId="16" borderId="37" xfId="0" applyFont="1" applyFill="1" applyBorder="1" applyAlignment="1">
      <alignment horizontal="center" vertical="center" wrapText="1"/>
    </xf>
    <xf numFmtId="2" fontId="25" fillId="16" borderId="120" xfId="0" applyNumberFormat="1" applyFont="1" applyFill="1" applyBorder="1" applyAlignment="1">
      <alignment horizontal="center" vertical="top" wrapText="1"/>
    </xf>
    <xf numFmtId="2" fontId="25" fillId="16" borderId="121" xfId="0" applyNumberFormat="1" applyFont="1" applyFill="1" applyBorder="1" applyAlignment="1">
      <alignment horizontal="center" vertical="top" wrapText="1"/>
    </xf>
    <xf numFmtId="0" fontId="75" fillId="18" borderId="16" xfId="71" applyFont="1" applyFill="1" applyBorder="1" applyAlignment="1">
      <alignment horizontal="center"/>
    </xf>
    <xf numFmtId="0" fontId="75" fillId="18" borderId="17" xfId="71" applyFont="1" applyFill="1" applyBorder="1" applyAlignment="1">
      <alignment horizontal="center"/>
    </xf>
    <xf numFmtId="0" fontId="75" fillId="18" borderId="18" xfId="71" applyFont="1" applyFill="1" applyBorder="1" applyAlignment="1">
      <alignment horizontal="center"/>
    </xf>
    <xf numFmtId="0" fontId="25" fillId="13" borderId="40" xfId="0" applyFont="1" applyFill="1" applyBorder="1" applyAlignment="1">
      <alignment horizontal="center"/>
    </xf>
    <xf numFmtId="0" fontId="25" fillId="13" borderId="41" xfId="0" applyFont="1" applyFill="1" applyBorder="1" applyAlignment="1">
      <alignment horizontal="center"/>
    </xf>
    <xf numFmtId="0" fontId="25" fillId="16" borderId="36" xfId="0" applyFont="1" applyFill="1" applyBorder="1" applyAlignment="1">
      <alignment horizontal="center" vertical="center" wrapText="1"/>
    </xf>
    <xf numFmtId="2" fontId="25" fillId="16" borderId="120" xfId="0" applyNumberFormat="1" applyFont="1" applyFill="1" applyBorder="1" applyAlignment="1">
      <alignment horizontal="center" vertical="center" wrapText="1"/>
    </xf>
    <xf numFmtId="2" fontId="25" fillId="16" borderId="121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left" vertical="top" wrapText="1"/>
    </xf>
    <xf numFmtId="0" fontId="68" fillId="0" borderId="16" xfId="0" applyFont="1" applyBorder="1" applyAlignment="1">
      <alignment horizontal="center" wrapText="1"/>
    </xf>
    <xf numFmtId="0" fontId="68" fillId="0" borderId="17" xfId="0" applyFont="1" applyBorder="1" applyAlignment="1">
      <alignment horizontal="center" wrapText="1"/>
    </xf>
    <xf numFmtId="0" fontId="68" fillId="0" borderId="18" xfId="0" applyFont="1" applyBorder="1" applyAlignment="1">
      <alignment horizontal="center" wrapText="1"/>
    </xf>
    <xf numFmtId="0" fontId="68" fillId="18" borderId="16" xfId="0" applyFont="1" applyFill="1" applyBorder="1" applyAlignment="1">
      <alignment horizontal="center" wrapText="1"/>
    </xf>
    <xf numFmtId="0" fontId="68" fillId="18" borderId="17" xfId="0" applyFont="1" applyFill="1" applyBorder="1" applyAlignment="1">
      <alignment horizontal="center" wrapText="1"/>
    </xf>
    <xf numFmtId="0" fontId="68" fillId="18" borderId="18" xfId="0" applyFont="1" applyFill="1" applyBorder="1" applyAlignment="1">
      <alignment horizontal="center" wrapText="1"/>
    </xf>
    <xf numFmtId="2" fontId="67" fillId="10" borderId="105" xfId="0" applyNumberFormat="1" applyFont="1" applyFill="1" applyBorder="1" applyAlignment="1">
      <alignment horizontal="center" vertical="center"/>
    </xf>
    <xf numFmtId="0" fontId="62" fillId="2" borderId="105" xfId="0" applyFont="1" applyFill="1" applyBorder="1" applyAlignment="1">
      <alignment horizontal="center" wrapText="1"/>
    </xf>
    <xf numFmtId="0" fontId="62" fillId="10" borderId="111" xfId="0" applyFont="1" applyFill="1" applyBorder="1" applyAlignment="1">
      <alignment horizontal="center" wrapText="1"/>
    </xf>
    <xf numFmtId="0" fontId="62" fillId="10" borderId="115" xfId="0" applyFont="1" applyFill="1" applyBorder="1" applyAlignment="1">
      <alignment horizontal="center" wrapText="1"/>
    </xf>
    <xf numFmtId="0" fontId="18" fillId="7" borderId="16" xfId="0" applyFont="1" applyFill="1" applyBorder="1" applyAlignment="1">
      <alignment horizontal="center" vertical="center" wrapText="1"/>
    </xf>
    <xf numFmtId="0" fontId="12" fillId="7" borderId="18" xfId="0" applyFont="1" applyFill="1" applyBorder="1"/>
    <xf numFmtId="0" fontId="32" fillId="7" borderId="27" xfId="0" applyFont="1" applyFill="1" applyBorder="1" applyAlignment="1">
      <alignment horizontal="center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55" fillId="53" borderId="28" xfId="69" applyFont="1" applyFill="1" applyBorder="1" applyAlignment="1">
      <alignment horizontal="center" vertical="center" wrapText="1"/>
    </xf>
    <xf numFmtId="0" fontId="55" fillId="7" borderId="29" xfId="69" applyFont="1" applyFill="1" applyBorder="1" applyAlignment="1">
      <alignment horizontal="center" vertical="center" wrapText="1"/>
    </xf>
    <xf numFmtId="0" fontId="55" fillId="7" borderId="61" xfId="69" applyFont="1" applyFill="1" applyBorder="1" applyAlignment="1">
      <alignment horizontal="center" vertical="center" wrapText="1"/>
    </xf>
    <xf numFmtId="0" fontId="57" fillId="20" borderId="56" xfId="0" applyFont="1" applyFill="1" applyBorder="1" applyAlignment="1">
      <alignment horizontal="center" vertical="center"/>
    </xf>
    <xf numFmtId="0" fontId="57" fillId="20" borderId="80" xfId="0" applyFont="1" applyFill="1" applyBorder="1" applyAlignment="1">
      <alignment horizontal="center" vertical="center"/>
    </xf>
    <xf numFmtId="0" fontId="55" fillId="7" borderId="27" xfId="69" applyFont="1" applyFill="1" applyBorder="1" applyAlignment="1">
      <alignment horizontal="center" vertical="center"/>
    </xf>
    <xf numFmtId="0" fontId="55" fillId="7" borderId="53" xfId="69" applyFont="1" applyFill="1" applyBorder="1" applyAlignment="1">
      <alignment horizontal="center" vertical="center"/>
    </xf>
    <xf numFmtId="0" fontId="55" fillId="53" borderId="55" xfId="69" applyFont="1" applyFill="1" applyBorder="1" applyAlignment="1">
      <alignment horizontal="center" vertical="center"/>
    </xf>
    <xf numFmtId="0" fontId="55" fillId="53" borderId="50" xfId="69" applyFont="1" applyFill="1" applyBorder="1" applyAlignment="1">
      <alignment horizontal="center" vertical="center"/>
    </xf>
    <xf numFmtId="0" fontId="55" fillId="7" borderId="68" xfId="69" applyFont="1" applyFill="1" applyBorder="1" applyAlignment="1">
      <alignment horizontal="center" vertical="center"/>
    </xf>
    <xf numFmtId="0" fontId="55" fillId="7" borderId="62" xfId="69" applyFont="1" applyFill="1" applyBorder="1" applyAlignment="1">
      <alignment horizontal="center" vertical="center"/>
    </xf>
    <xf numFmtId="0" fontId="24" fillId="7" borderId="52" xfId="69" applyFont="1" applyFill="1" applyBorder="1" applyAlignment="1">
      <alignment horizontal="center" vertical="center" wrapText="1"/>
    </xf>
    <xf numFmtId="0" fontId="24" fillId="7" borderId="79" xfId="69" applyFont="1" applyFill="1" applyBorder="1" applyAlignment="1">
      <alignment horizontal="center" vertical="center" wrapText="1"/>
    </xf>
    <xf numFmtId="0" fontId="24" fillId="7" borderId="68" xfId="69" applyFont="1" applyFill="1" applyBorder="1" applyAlignment="1">
      <alignment horizontal="center" vertical="center" wrapText="1"/>
    </xf>
    <xf numFmtId="2" fontId="58" fillId="2" borderId="78" xfId="70" applyNumberFormat="1" applyFont="1" applyFill="1" applyBorder="1" applyAlignment="1">
      <alignment horizontal="center" vertical="center"/>
    </xf>
    <xf numFmtId="2" fontId="71" fillId="0" borderId="84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0" fontId="90" fillId="18" borderId="78" xfId="0" applyFont="1" applyFill="1" applyBorder="1" applyAlignment="1">
      <alignment horizontal="center" vertical="center"/>
    </xf>
    <xf numFmtId="0" fontId="122" fillId="0" borderId="84" xfId="0" applyFont="1" applyBorder="1" applyAlignment="1">
      <alignment horizontal="center" vertical="center" wrapText="1"/>
    </xf>
    <xf numFmtId="0" fontId="122" fillId="0" borderId="31" xfId="0" applyFont="1" applyBorder="1" applyAlignment="1">
      <alignment horizontal="center" vertical="center" wrapText="1"/>
    </xf>
    <xf numFmtId="0" fontId="70" fillId="0" borderId="84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61" fillId="18" borderId="8" xfId="5" applyFont="1" applyFill="1" applyBorder="1" applyAlignment="1">
      <alignment horizontal="center"/>
    </xf>
    <xf numFmtId="0" fontId="61" fillId="18" borderId="94" xfId="5" applyFont="1" applyFill="1" applyBorder="1" applyAlignment="1">
      <alignment horizontal="center"/>
    </xf>
    <xf numFmtId="0" fontId="61" fillId="18" borderId="9" xfId="5" applyFont="1" applyFill="1" applyBorder="1" applyAlignment="1">
      <alignment horizontal="center"/>
    </xf>
    <xf numFmtId="0" fontId="58" fillId="2" borderId="0" xfId="71" applyFont="1" applyFill="1" applyBorder="1" applyAlignment="1">
      <alignment horizontal="left" vertical="center" wrapText="1"/>
    </xf>
    <xf numFmtId="0" fontId="61" fillId="18" borderId="16" xfId="5" applyFont="1" applyFill="1" applyBorder="1" applyAlignment="1">
      <alignment horizontal="center"/>
    </xf>
    <xf numFmtId="0" fontId="61" fillId="18" borderId="17" xfId="5" applyFont="1" applyFill="1" applyBorder="1" applyAlignment="1">
      <alignment horizontal="center"/>
    </xf>
    <xf numFmtId="0" fontId="61" fillId="18" borderId="18" xfId="5" applyFont="1" applyFill="1" applyBorder="1" applyAlignment="1">
      <alignment horizontal="center"/>
    </xf>
    <xf numFmtId="0" fontId="61" fillId="18" borderId="16" xfId="71" applyFont="1" applyFill="1" applyBorder="1" applyAlignment="1">
      <alignment horizontal="center" vertical="center"/>
    </xf>
    <xf numFmtId="0" fontId="61" fillId="18" borderId="17" xfId="71" applyFont="1" applyFill="1" applyBorder="1" applyAlignment="1">
      <alignment horizontal="center" vertical="center"/>
    </xf>
    <xf numFmtId="0" fontId="61" fillId="18" borderId="18" xfId="71" applyFont="1" applyFill="1" applyBorder="1" applyAlignment="1">
      <alignment horizontal="center" vertical="center"/>
    </xf>
    <xf numFmtId="0" fontId="61" fillId="18" borderId="78" xfId="71" applyFont="1" applyFill="1" applyBorder="1" applyAlignment="1">
      <alignment horizontal="center" vertical="center" wrapText="1"/>
    </xf>
    <xf numFmtId="0" fontId="74" fillId="0" borderId="84" xfId="71" applyFont="1" applyBorder="1" applyAlignment="1">
      <alignment horizontal="center" vertical="center" wrapText="1"/>
    </xf>
    <xf numFmtId="0" fontId="74" fillId="0" borderId="87" xfId="71" applyFont="1" applyBorder="1" applyAlignment="1">
      <alignment horizontal="center" vertical="center" wrapText="1"/>
    </xf>
    <xf numFmtId="0" fontId="74" fillId="0" borderId="31" xfId="71" applyFont="1" applyBorder="1" applyAlignment="1">
      <alignment horizontal="center" vertical="center" wrapText="1"/>
    </xf>
    <xf numFmtId="0" fontId="77" fillId="2" borderId="78" xfId="71" applyFont="1" applyFill="1" applyBorder="1" applyAlignment="1">
      <alignment horizontal="center" wrapText="1"/>
    </xf>
    <xf numFmtId="1" fontId="74" fillId="0" borderId="84" xfId="71" applyNumberFormat="1" applyFont="1" applyBorder="1" applyAlignment="1">
      <alignment horizontal="center" vertical="center" wrapText="1"/>
    </xf>
    <xf numFmtId="1" fontId="74" fillId="0" borderId="87" xfId="71" applyNumberFormat="1" applyFont="1" applyBorder="1" applyAlignment="1">
      <alignment horizontal="center" vertical="center" wrapText="1"/>
    </xf>
    <xf numFmtId="1" fontId="74" fillId="0" borderId="31" xfId="71" applyNumberFormat="1" applyFont="1" applyBorder="1" applyAlignment="1">
      <alignment horizontal="center" vertical="center" wrapText="1"/>
    </xf>
    <xf numFmtId="0" fontId="61" fillId="18" borderId="82" xfId="71" applyFont="1" applyFill="1" applyBorder="1" applyAlignment="1">
      <alignment horizontal="center" vertical="center" wrapText="1"/>
    </xf>
    <xf numFmtId="0" fontId="61" fillId="18" borderId="93" xfId="71" applyFont="1" applyFill="1" applyBorder="1" applyAlignment="1">
      <alignment horizontal="center" vertical="center" wrapText="1"/>
    </xf>
    <xf numFmtId="0" fontId="61" fillId="18" borderId="92" xfId="71" applyFont="1" applyFill="1" applyBorder="1" applyAlignment="1">
      <alignment horizontal="center" vertical="center" wrapText="1"/>
    </xf>
    <xf numFmtId="0" fontId="61" fillId="18" borderId="84" xfId="71" applyFont="1" applyFill="1" applyBorder="1" applyAlignment="1">
      <alignment horizontal="center" vertical="center" wrapText="1"/>
    </xf>
    <xf numFmtId="0" fontId="61" fillId="18" borderId="87" xfId="71" applyFont="1" applyFill="1" applyBorder="1" applyAlignment="1">
      <alignment horizontal="center" vertical="center" wrapText="1"/>
    </xf>
    <xf numFmtId="0" fontId="61" fillId="18" borderId="31" xfId="71" applyFont="1" applyFill="1" applyBorder="1" applyAlignment="1">
      <alignment horizontal="center" vertical="center" wrapText="1"/>
    </xf>
    <xf numFmtId="0" fontId="91" fillId="18" borderId="78" xfId="71" applyFont="1" applyFill="1" applyBorder="1" applyAlignment="1">
      <alignment horizontal="center" wrapText="1"/>
    </xf>
    <xf numFmtId="0" fontId="83" fillId="18" borderId="78" xfId="71" applyFont="1" applyFill="1" applyBorder="1" applyAlignment="1">
      <alignment horizontal="center" vertical="center" wrapText="1"/>
    </xf>
    <xf numFmtId="0" fontId="83" fillId="18" borderId="105" xfId="71" applyFont="1" applyFill="1" applyBorder="1" applyAlignment="1">
      <alignment horizontal="center" vertical="center" wrapText="1"/>
    </xf>
    <xf numFmtId="0" fontId="83" fillId="18" borderId="82" xfId="71" applyFont="1" applyFill="1" applyBorder="1" applyAlignment="1">
      <alignment horizontal="center" vertical="center" wrapText="1"/>
    </xf>
    <xf numFmtId="0" fontId="83" fillId="18" borderId="92" xfId="71" applyFont="1" applyFill="1" applyBorder="1" applyAlignment="1">
      <alignment horizontal="center" vertical="center" wrapText="1"/>
    </xf>
    <xf numFmtId="0" fontId="83" fillId="18" borderId="82" xfId="71" applyFont="1" applyFill="1" applyBorder="1" applyAlignment="1">
      <alignment horizontal="center" wrapText="1"/>
    </xf>
    <xf numFmtId="0" fontId="83" fillId="18" borderId="92" xfId="71" applyFont="1" applyFill="1" applyBorder="1" applyAlignment="1">
      <alignment horizontal="center" wrapText="1"/>
    </xf>
    <xf numFmtId="0" fontId="83" fillId="18" borderId="96" xfId="71" applyFont="1" applyFill="1" applyBorder="1" applyAlignment="1">
      <alignment horizontal="center" vertical="center" wrapText="1"/>
    </xf>
    <xf numFmtId="0" fontId="83" fillId="18" borderId="95" xfId="71" applyFont="1" applyFill="1" applyBorder="1" applyAlignment="1">
      <alignment horizontal="center" vertical="center" wrapText="1"/>
    </xf>
    <xf numFmtId="0" fontId="83" fillId="18" borderId="97" xfId="71" applyFont="1" applyFill="1" applyBorder="1" applyAlignment="1">
      <alignment horizontal="center" vertical="center" wrapText="1"/>
    </xf>
    <xf numFmtId="0" fontId="83" fillId="18" borderId="84" xfId="71" applyFont="1" applyFill="1" applyBorder="1" applyAlignment="1">
      <alignment horizontal="center" vertical="center" wrapText="1"/>
    </xf>
    <xf numFmtId="0" fontId="83" fillId="18" borderId="87" xfId="71" applyFont="1" applyFill="1" applyBorder="1" applyAlignment="1">
      <alignment horizontal="center" vertical="center" wrapText="1"/>
    </xf>
    <xf numFmtId="0" fontId="83" fillId="18" borderId="31" xfId="71" applyFont="1" applyFill="1" applyBorder="1" applyAlignment="1">
      <alignment horizontal="center" vertical="center" wrapText="1"/>
    </xf>
    <xf numFmtId="0" fontId="114" fillId="54" borderId="95" xfId="8" applyFont="1" applyFill="1" applyBorder="1" applyAlignment="1">
      <alignment horizontal="center" vertical="center" wrapText="1"/>
    </xf>
    <xf numFmtId="0" fontId="112" fillId="54" borderId="165" xfId="8" applyFont="1" applyFill="1" applyBorder="1" applyAlignment="1">
      <alignment horizontal="center" vertical="center" wrapText="1"/>
    </xf>
    <xf numFmtId="0" fontId="114" fillId="54" borderId="127" xfId="8" applyFont="1" applyFill="1" applyBorder="1" applyAlignment="1">
      <alignment horizontal="center" vertical="center" wrapText="1"/>
    </xf>
    <xf numFmtId="0" fontId="112" fillId="54" borderId="133" xfId="8" applyFont="1" applyFill="1" applyBorder="1" applyAlignment="1">
      <alignment horizontal="center" vertical="center" wrapText="1"/>
    </xf>
    <xf numFmtId="0" fontId="114" fillId="54" borderId="90" xfId="8" applyFont="1" applyFill="1" applyBorder="1" applyAlignment="1">
      <alignment horizontal="center" vertical="center" wrapText="1"/>
    </xf>
    <xf numFmtId="0" fontId="112" fillId="54" borderId="128" xfId="8" applyFont="1" applyFill="1" applyBorder="1" applyAlignment="1">
      <alignment horizontal="center" vertical="center" wrapText="1"/>
    </xf>
    <xf numFmtId="0" fontId="112" fillId="54" borderId="97" xfId="8" applyFont="1" applyFill="1" applyBorder="1" applyAlignment="1">
      <alignment horizontal="center" vertical="center" wrapText="1"/>
    </xf>
    <xf numFmtId="0" fontId="112" fillId="54" borderId="129" xfId="8" applyFont="1" applyFill="1" applyBorder="1" applyAlignment="1">
      <alignment horizontal="center" vertical="center" wrapText="1"/>
    </xf>
    <xf numFmtId="0" fontId="114" fillId="54" borderId="130" xfId="8" applyFont="1" applyFill="1" applyBorder="1" applyAlignment="1">
      <alignment horizontal="center" vertical="center" wrapText="1"/>
    </xf>
    <xf numFmtId="0" fontId="112" fillId="54" borderId="137" xfId="8" applyFont="1" applyFill="1" applyBorder="1" applyAlignment="1">
      <alignment horizontal="center" vertical="center" wrapText="1"/>
    </xf>
    <xf numFmtId="0" fontId="116" fillId="55" borderId="139" xfId="8" applyFont="1" applyFill="1" applyBorder="1" applyAlignment="1">
      <alignment horizontal="right" vertical="center"/>
    </xf>
    <xf numFmtId="0" fontId="116" fillId="55" borderId="140" xfId="8" applyFont="1" applyFill="1" applyBorder="1" applyAlignment="1">
      <alignment horizontal="right" vertical="center"/>
    </xf>
    <xf numFmtId="2" fontId="20" fillId="55" borderId="94" xfId="8" applyNumberFormat="1" applyFont="1" applyFill="1" applyBorder="1" applyAlignment="1">
      <alignment horizontal="right" vertical="center"/>
    </xf>
    <xf numFmtId="2" fontId="20" fillId="55" borderId="151" xfId="8" applyNumberFormat="1" applyFont="1" applyFill="1" applyBorder="1" applyAlignment="1">
      <alignment horizontal="right" vertical="center"/>
    </xf>
    <xf numFmtId="0" fontId="107" fillId="0" borderId="0" xfId="8" applyFont="1" applyAlignment="1">
      <alignment horizontal="justify" wrapText="1"/>
    </xf>
    <xf numFmtId="0" fontId="108" fillId="0" borderId="0" xfId="8" applyFont="1" applyAlignment="1">
      <alignment horizontal="justify" wrapText="1"/>
    </xf>
    <xf numFmtId="0" fontId="111" fillId="0" borderId="0" xfId="8" applyFont="1" applyFill="1" applyBorder="1" applyAlignment="1">
      <alignment horizontal="left" vertical="center" wrapText="1"/>
    </xf>
    <xf numFmtId="0" fontId="113" fillId="54" borderId="19" xfId="8" applyFont="1" applyFill="1" applyBorder="1" applyAlignment="1">
      <alignment horizontal="center" vertical="center" wrapText="1"/>
    </xf>
    <xf numFmtId="0" fontId="113" fillId="54" borderId="109" xfId="8" applyFont="1" applyFill="1" applyBorder="1" applyAlignment="1">
      <alignment horizontal="center" vertical="center" wrapText="1"/>
    </xf>
    <xf numFmtId="0" fontId="113" fillId="54" borderId="193" xfId="8" applyFont="1" applyFill="1" applyBorder="1" applyAlignment="1">
      <alignment horizontal="center" vertical="center" wrapText="1"/>
    </xf>
    <xf numFmtId="0" fontId="107" fillId="54" borderId="124" xfId="8" applyFont="1" applyFill="1" applyBorder="1" applyAlignment="1">
      <alignment horizontal="center" vertical="top" wrapText="1"/>
    </xf>
    <xf numFmtId="0" fontId="108" fillId="54" borderId="124" xfId="8" applyFont="1" applyFill="1" applyBorder="1" applyAlignment="1">
      <alignment horizontal="center" vertical="top" wrapText="1"/>
    </xf>
    <xf numFmtId="0" fontId="108" fillId="54" borderId="125" xfId="8" applyFont="1" applyFill="1" applyBorder="1" applyAlignment="1">
      <alignment horizontal="center" vertical="top" wrapText="1"/>
    </xf>
    <xf numFmtId="0" fontId="114" fillId="54" borderId="138" xfId="8" applyFont="1" applyFill="1" applyBorder="1" applyAlignment="1">
      <alignment horizontal="center" vertical="center" wrapText="1"/>
    </xf>
    <xf numFmtId="0" fontId="114" fillId="54" borderId="131" xfId="8" applyFont="1" applyFill="1" applyBorder="1" applyAlignment="1">
      <alignment horizontal="center" vertical="center" wrapText="1"/>
    </xf>
    <xf numFmtId="0" fontId="112" fillId="56" borderId="164" xfId="8" applyFont="1" applyFill="1" applyBorder="1" applyAlignment="1" applyProtection="1">
      <alignment horizontal="right" vertical="center"/>
      <protection locked="0"/>
    </xf>
    <xf numFmtId="0" fontId="112" fillId="56" borderId="129" xfId="8" applyFont="1" applyFill="1" applyBorder="1" applyAlignment="1" applyProtection="1">
      <alignment horizontal="right" vertical="center"/>
      <protection locked="0"/>
    </xf>
    <xf numFmtId="0" fontId="106" fillId="60" borderId="0" xfId="8" applyFont="1" applyFill="1" applyBorder="1" applyAlignment="1">
      <alignment horizontal="right" vertical="center"/>
    </xf>
    <xf numFmtId="0" fontId="106" fillId="60" borderId="128" xfId="8" applyFont="1" applyFill="1" applyBorder="1" applyAlignment="1">
      <alignment horizontal="right" vertical="center"/>
    </xf>
    <xf numFmtId="0" fontId="112" fillId="56" borderId="179" xfId="8" applyFont="1" applyFill="1" applyBorder="1" applyAlignment="1" applyProtection="1">
      <alignment horizontal="right" vertical="center"/>
      <protection locked="0"/>
    </xf>
    <xf numFmtId="0" fontId="112" fillId="56" borderId="141" xfId="8" applyFont="1" applyFill="1" applyBorder="1" applyAlignment="1" applyProtection="1">
      <alignment horizontal="right" vertical="center"/>
      <protection locked="0"/>
    </xf>
    <xf numFmtId="2" fontId="20" fillId="60" borderId="160" xfId="8" applyNumberFormat="1" applyFont="1" applyFill="1" applyBorder="1" applyAlignment="1">
      <alignment horizontal="right" vertical="center"/>
    </xf>
    <xf numFmtId="2" fontId="20" fillId="60" borderId="161" xfId="8" applyNumberFormat="1" applyFont="1" applyFill="1" applyBorder="1" applyAlignment="1">
      <alignment horizontal="right" vertical="center"/>
    </xf>
    <xf numFmtId="2" fontId="20" fillId="60" borderId="162" xfId="8" applyNumberFormat="1" applyFont="1" applyFill="1" applyBorder="1" applyAlignment="1">
      <alignment horizontal="right" vertical="center"/>
    </xf>
    <xf numFmtId="2" fontId="20" fillId="60" borderId="163" xfId="8" applyNumberFormat="1" applyFont="1" applyFill="1" applyBorder="1" applyAlignment="1">
      <alignment horizontal="right" vertical="center"/>
    </xf>
    <xf numFmtId="2" fontId="20" fillId="60" borderId="0" xfId="8" applyNumberFormat="1" applyFont="1" applyFill="1" applyBorder="1" applyAlignment="1">
      <alignment horizontal="right" vertical="center"/>
    </xf>
    <xf numFmtId="2" fontId="20" fillId="60" borderId="130" xfId="8" applyNumberFormat="1" applyFont="1" applyFill="1" applyBorder="1" applyAlignment="1">
      <alignment horizontal="right" vertical="center"/>
    </xf>
    <xf numFmtId="0" fontId="114" fillId="54" borderId="191" xfId="8" applyFont="1" applyFill="1" applyBorder="1" applyAlignment="1">
      <alignment horizontal="center" vertical="center" wrapText="1"/>
    </xf>
    <xf numFmtId="0" fontId="114" fillId="54" borderId="132" xfId="8" applyFont="1" applyFill="1" applyBorder="1" applyAlignment="1">
      <alignment horizontal="center" vertical="center" wrapText="1"/>
    </xf>
    <xf numFmtId="0" fontId="114" fillId="54" borderId="190" xfId="8" applyFont="1" applyFill="1" applyBorder="1" applyAlignment="1">
      <alignment horizontal="center" vertical="center" wrapText="1"/>
    </xf>
    <xf numFmtId="0" fontId="114" fillId="54" borderId="133" xfId="8" applyFont="1" applyFill="1" applyBorder="1" applyAlignment="1">
      <alignment horizontal="center" vertical="center" wrapText="1"/>
    </xf>
    <xf numFmtId="0" fontId="114" fillId="54" borderId="188" xfId="8" applyFont="1" applyFill="1" applyBorder="1" applyAlignment="1">
      <alignment horizontal="center" vertical="center" wrapText="1"/>
    </xf>
    <xf numFmtId="0" fontId="114" fillId="54" borderId="139" xfId="8" applyFont="1" applyFill="1" applyBorder="1" applyAlignment="1">
      <alignment horizontal="center" vertical="center" wrapText="1"/>
    </xf>
    <xf numFmtId="0" fontId="114" fillId="54" borderId="189" xfId="8" applyFont="1" applyFill="1" applyBorder="1" applyAlignment="1">
      <alignment horizontal="center" vertical="center" wrapText="1"/>
    </xf>
    <xf numFmtId="0" fontId="114" fillId="54" borderId="140" xfId="8" applyFont="1" applyFill="1" applyBorder="1" applyAlignment="1">
      <alignment horizontal="center" vertical="center" wrapText="1"/>
    </xf>
    <xf numFmtId="0" fontId="106" fillId="60" borderId="122" xfId="8" applyFont="1" applyFill="1" applyBorder="1" applyAlignment="1">
      <alignment horizontal="right" vertical="center"/>
    </xf>
    <xf numFmtId="0" fontId="106" fillId="60" borderId="163" xfId="8" applyFont="1" applyFill="1" applyBorder="1" applyAlignment="1">
      <alignment horizontal="right" vertical="center"/>
    </xf>
    <xf numFmtId="0" fontId="106" fillId="60" borderId="164" xfId="8" applyFont="1" applyFill="1" applyBorder="1" applyAlignment="1">
      <alignment horizontal="right" vertical="center"/>
    </xf>
    <xf numFmtId="0" fontId="106" fillId="60" borderId="112" xfId="8" applyFont="1" applyFill="1" applyBorder="1" applyAlignment="1">
      <alignment horizontal="right" vertical="center"/>
    </xf>
    <xf numFmtId="0" fontId="112" fillId="60" borderId="112" xfId="8" applyFont="1" applyFill="1" applyBorder="1" applyAlignment="1">
      <alignment horizontal="right" vertical="center" wrapText="1"/>
    </xf>
    <xf numFmtId="0" fontId="112" fillId="60" borderId="0" xfId="8" applyFont="1" applyFill="1" applyBorder="1" applyAlignment="1">
      <alignment horizontal="right" vertical="center" wrapText="1"/>
    </xf>
    <xf numFmtId="0" fontId="112" fillId="60" borderId="128" xfId="8" applyFont="1" applyFill="1" applyBorder="1" applyAlignment="1">
      <alignment horizontal="right" vertical="center" wrapText="1"/>
    </xf>
    <xf numFmtId="0" fontId="106" fillId="60" borderId="177" xfId="8" applyFont="1" applyFill="1" applyBorder="1" applyAlignment="1">
      <alignment horizontal="right" vertical="center"/>
    </xf>
    <xf numFmtId="0" fontId="106" fillId="60" borderId="99" xfId="8" applyFont="1" applyFill="1" applyBorder="1" applyAlignment="1">
      <alignment horizontal="right" vertical="center"/>
    </xf>
    <xf numFmtId="0" fontId="106" fillId="60" borderId="180" xfId="8" applyFont="1" applyFill="1" applyBorder="1" applyAlignment="1">
      <alignment horizontal="right" vertical="center"/>
    </xf>
    <xf numFmtId="0" fontId="112" fillId="56" borderId="187" xfId="8" applyFont="1" applyFill="1" applyBorder="1" applyAlignment="1" applyProtection="1">
      <alignment horizontal="right" vertical="center"/>
      <protection locked="0"/>
    </xf>
    <xf numFmtId="0" fontId="112" fillId="56" borderId="185" xfId="8" applyFont="1" applyFill="1" applyBorder="1" applyAlignment="1" applyProtection="1">
      <alignment horizontal="right" vertical="center"/>
      <protection locked="0"/>
    </xf>
    <xf numFmtId="0" fontId="106" fillId="60" borderId="178" xfId="8" applyFont="1" applyFill="1" applyBorder="1" applyAlignment="1">
      <alignment horizontal="right" vertical="center"/>
    </xf>
    <xf numFmtId="0" fontId="106" fillId="60" borderId="91" xfId="8" applyFont="1" applyFill="1" applyBorder="1" applyAlignment="1">
      <alignment horizontal="right" vertical="center"/>
    </xf>
    <xf numFmtId="0" fontId="106" fillId="60" borderId="181" xfId="8" applyFont="1" applyFill="1" applyBorder="1" applyAlignment="1">
      <alignment horizontal="right" vertical="center"/>
    </xf>
    <xf numFmtId="0" fontId="106" fillId="60" borderId="113" xfId="8" applyFont="1" applyFill="1" applyBorder="1" applyAlignment="1">
      <alignment horizontal="right" vertical="center"/>
    </xf>
    <xf numFmtId="0" fontId="106" fillId="60" borderId="130" xfId="8" applyFont="1" applyFill="1" applyBorder="1" applyAlignment="1">
      <alignment horizontal="right" vertical="center"/>
    </xf>
    <xf numFmtId="0" fontId="106" fillId="60" borderId="129" xfId="8" applyFont="1" applyFill="1" applyBorder="1" applyAlignment="1">
      <alignment horizontal="right" vertical="center"/>
    </xf>
    <xf numFmtId="0" fontId="20" fillId="60" borderId="160" xfId="8" applyFont="1" applyFill="1" applyBorder="1" applyAlignment="1">
      <alignment horizontal="right" vertical="center"/>
    </xf>
    <xf numFmtId="0" fontId="20" fillId="60" borderId="161" xfId="8" applyFont="1" applyFill="1" applyBorder="1" applyAlignment="1">
      <alignment horizontal="right" vertical="center"/>
    </xf>
    <xf numFmtId="0" fontId="20" fillId="60" borderId="162" xfId="8" applyFont="1" applyFill="1" applyBorder="1" applyAlignment="1">
      <alignment horizontal="right" vertical="center"/>
    </xf>
    <xf numFmtId="0" fontId="20" fillId="60" borderId="163" xfId="8" applyFont="1" applyFill="1" applyBorder="1" applyAlignment="1">
      <alignment horizontal="right" vertical="center"/>
    </xf>
    <xf numFmtId="0" fontId="20" fillId="60" borderId="0" xfId="8" applyFont="1" applyFill="1" applyBorder="1" applyAlignment="1">
      <alignment horizontal="right" vertical="center"/>
    </xf>
    <xf numFmtId="0" fontId="20" fillId="60" borderId="130" xfId="8" applyFont="1" applyFill="1" applyBorder="1" applyAlignment="1">
      <alignment horizontal="right" vertical="center"/>
    </xf>
    <xf numFmtId="0" fontId="112" fillId="54" borderId="126" xfId="8" applyFont="1" applyFill="1" applyBorder="1" applyAlignment="1">
      <alignment horizontal="center" vertical="center" wrapText="1"/>
    </xf>
    <xf numFmtId="0" fontId="112" fillId="54" borderId="131" xfId="8" applyFont="1" applyFill="1" applyBorder="1" applyAlignment="1">
      <alignment horizontal="center" vertical="center" wrapText="1"/>
    </xf>
    <xf numFmtId="0" fontId="112" fillId="54" borderId="171" xfId="8" applyFont="1" applyFill="1" applyBorder="1" applyAlignment="1">
      <alignment horizontal="center" vertical="center" wrapText="1"/>
    </xf>
    <xf numFmtId="0" fontId="107" fillId="54" borderId="168" xfId="8" applyFont="1" applyFill="1" applyBorder="1" applyAlignment="1">
      <alignment horizontal="center" vertical="center"/>
    </xf>
    <xf numFmtId="0" fontId="108" fillId="54" borderId="169" xfId="8" applyFont="1" applyFill="1" applyBorder="1" applyAlignment="1">
      <alignment horizontal="center" vertical="center"/>
    </xf>
    <xf numFmtId="0" fontId="108" fillId="54" borderId="170" xfId="8" applyFont="1" applyFill="1" applyBorder="1" applyAlignment="1">
      <alignment horizontal="center" vertical="center"/>
    </xf>
    <xf numFmtId="0" fontId="114" fillId="54" borderId="113" xfId="8" applyFont="1" applyFill="1" applyBorder="1" applyAlignment="1">
      <alignment horizontal="center" vertical="center" wrapText="1"/>
    </xf>
    <xf numFmtId="0" fontId="112" fillId="54" borderId="130" xfId="8" applyFont="1" applyFill="1" applyBorder="1" applyAlignment="1">
      <alignment horizontal="center" vertical="center" wrapText="1"/>
    </xf>
    <xf numFmtId="0" fontId="114" fillId="54" borderId="122" xfId="8" applyFont="1" applyFill="1" applyBorder="1" applyAlignment="1">
      <alignment horizontal="center" vertical="center" wrapText="1"/>
    </xf>
    <xf numFmtId="0" fontId="112" fillId="54" borderId="113" xfId="8" applyFont="1" applyFill="1" applyBorder="1" applyAlignment="1">
      <alignment horizontal="center" vertical="center" wrapText="1"/>
    </xf>
    <xf numFmtId="0" fontId="112" fillId="54" borderId="163" xfId="8" applyFont="1" applyFill="1" applyBorder="1" applyAlignment="1">
      <alignment horizontal="center" vertical="center" wrapText="1"/>
    </xf>
    <xf numFmtId="0" fontId="114" fillId="54" borderId="144" xfId="8" applyFont="1" applyFill="1" applyBorder="1" applyAlignment="1">
      <alignment horizontal="center" vertical="center" wrapText="1"/>
    </xf>
    <xf numFmtId="0" fontId="112" fillId="54" borderId="80" xfId="8" applyFont="1" applyFill="1" applyBorder="1" applyAlignment="1">
      <alignment horizontal="center" vertical="center" wrapText="1"/>
    </xf>
    <xf numFmtId="0" fontId="112" fillId="54" borderId="57" xfId="8" applyFont="1" applyFill="1" applyBorder="1" applyAlignment="1">
      <alignment horizontal="center" vertical="center" wrapText="1"/>
    </xf>
    <xf numFmtId="0" fontId="114" fillId="54" borderId="25" xfId="8" applyFont="1" applyFill="1" applyBorder="1" applyAlignment="1">
      <alignment horizontal="center" vertical="center" wrapText="1"/>
    </xf>
    <xf numFmtId="0" fontId="114" fillId="54" borderId="158" xfId="8" applyFont="1" applyFill="1" applyBorder="1" applyAlignment="1">
      <alignment horizontal="center" vertical="center" wrapText="1"/>
    </xf>
    <xf numFmtId="0" fontId="112" fillId="54" borderId="175" xfId="8" applyFont="1" applyFill="1" applyBorder="1" applyAlignment="1">
      <alignment horizontal="center" vertical="center" wrapText="1"/>
    </xf>
    <xf numFmtId="0" fontId="107" fillId="54" borderId="138" xfId="8" applyFont="1" applyFill="1" applyBorder="1" applyAlignment="1">
      <alignment horizontal="center" vertical="center" wrapText="1"/>
    </xf>
    <xf numFmtId="0" fontId="107" fillId="54" borderId="126" xfId="8" applyFont="1" applyFill="1" applyBorder="1" applyAlignment="1">
      <alignment horizontal="center" vertical="center" wrapText="1"/>
    </xf>
    <xf numFmtId="0" fontId="107" fillId="54" borderId="156" xfId="8" applyFont="1" applyFill="1" applyBorder="1" applyAlignment="1">
      <alignment horizontal="center" vertical="center" wrapText="1"/>
    </xf>
    <xf numFmtId="0" fontId="107" fillId="54" borderId="123" xfId="8" applyFont="1" applyFill="1" applyBorder="1" applyAlignment="1">
      <alignment horizontal="center" vertical="center" wrapText="1"/>
    </xf>
    <xf numFmtId="0" fontId="107" fillId="54" borderId="124" xfId="8" applyFont="1" applyFill="1" applyBorder="1" applyAlignment="1">
      <alignment horizontal="center" vertical="center" wrapText="1"/>
    </xf>
    <xf numFmtId="0" fontId="107" fillId="54" borderId="125" xfId="8" applyFont="1" applyFill="1" applyBorder="1" applyAlignment="1">
      <alignment horizontal="center" vertical="center" wrapText="1"/>
    </xf>
    <xf numFmtId="0" fontId="107" fillId="54" borderId="123" xfId="8" applyFont="1" applyFill="1" applyBorder="1" applyAlignment="1">
      <alignment horizontal="center" vertical="top" wrapText="1"/>
    </xf>
    <xf numFmtId="0" fontId="107" fillId="54" borderId="125" xfId="8" applyFont="1" applyFill="1" applyBorder="1" applyAlignment="1">
      <alignment horizontal="center" vertical="top" wrapText="1"/>
    </xf>
    <xf numFmtId="4" fontId="20" fillId="55" borderId="94" xfId="8" applyNumberFormat="1" applyFont="1" applyFill="1" applyBorder="1" applyAlignment="1">
      <alignment horizontal="right" vertical="center"/>
    </xf>
    <xf numFmtId="4" fontId="20" fillId="55" borderId="151" xfId="8" applyNumberFormat="1" applyFont="1" applyFill="1" applyBorder="1" applyAlignment="1">
      <alignment horizontal="right" vertical="center"/>
    </xf>
    <xf numFmtId="2" fontId="66" fillId="0" borderId="84" xfId="0" applyNumberFormat="1" applyFont="1" applyBorder="1" applyAlignment="1">
      <alignment horizontal="center" vertical="center" wrapText="1"/>
    </xf>
    <xf numFmtId="0" fontId="66" fillId="0" borderId="31" xfId="0" applyFont="1" applyBorder="1" applyAlignment="1">
      <alignment horizontal="center" vertical="center" wrapText="1"/>
    </xf>
    <xf numFmtId="0" fontId="66" fillId="0" borderId="87" xfId="0" applyFont="1" applyBorder="1" applyAlignment="1">
      <alignment horizontal="center" vertical="center" wrapText="1"/>
    </xf>
    <xf numFmtId="0" fontId="63" fillId="0" borderId="84" xfId="0" applyFont="1" applyBorder="1" applyAlignment="1">
      <alignment horizontal="center" vertical="center" wrapText="1"/>
    </xf>
    <xf numFmtId="0" fontId="63" fillId="0" borderId="31" xfId="0" applyFont="1" applyBorder="1" applyAlignment="1">
      <alignment horizontal="center" vertical="center" wrapText="1"/>
    </xf>
    <xf numFmtId="2" fontId="65" fillId="0" borderId="78" xfId="0" applyNumberFormat="1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62" fillId="0" borderId="78" xfId="0" applyFont="1" applyBorder="1" applyAlignment="1">
      <alignment horizontal="center" vertical="center"/>
    </xf>
    <xf numFmtId="0" fontId="62" fillId="0" borderId="78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 wrapText="1"/>
    </xf>
    <xf numFmtId="2" fontId="63" fillId="0" borderId="78" xfId="0" applyNumberFormat="1" applyFont="1" applyBorder="1" applyAlignment="1">
      <alignment horizontal="center" vertical="center" wrapText="1"/>
    </xf>
    <xf numFmtId="0" fontId="18" fillId="18" borderId="16" xfId="0" applyFont="1" applyFill="1" applyBorder="1" applyAlignment="1">
      <alignment horizontal="left"/>
    </xf>
    <xf numFmtId="0" fontId="18" fillId="18" borderId="17" xfId="0" applyFont="1" applyFill="1" applyBorder="1" applyAlignment="1">
      <alignment horizontal="left"/>
    </xf>
    <xf numFmtId="0" fontId="18" fillId="18" borderId="18" xfId="0" applyFont="1" applyFill="1" applyBorder="1" applyAlignment="1">
      <alignment horizontal="left"/>
    </xf>
    <xf numFmtId="0" fontId="34" fillId="18" borderId="16" xfId="0" applyFont="1" applyFill="1" applyBorder="1" applyAlignment="1">
      <alignment horizontal="left" wrapText="1"/>
    </xf>
    <xf numFmtId="0" fontId="34" fillId="18" borderId="17" xfId="0" applyFont="1" applyFill="1" applyBorder="1" applyAlignment="1">
      <alignment horizontal="left" wrapText="1"/>
    </xf>
    <xf numFmtId="0" fontId="34" fillId="18" borderId="18" xfId="0" applyFont="1" applyFill="1" applyBorder="1" applyAlignment="1">
      <alignment horizontal="left" wrapText="1"/>
    </xf>
    <xf numFmtId="0" fontId="65" fillId="0" borderId="108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2" fontId="66" fillId="0" borderId="84" xfId="0" applyNumberFormat="1" applyFont="1" applyFill="1" applyBorder="1" applyAlignment="1">
      <alignment horizontal="center" vertical="center" wrapText="1"/>
    </xf>
    <xf numFmtId="2" fontId="66" fillId="0" borderId="87" xfId="0" applyNumberFormat="1" applyFont="1" applyFill="1" applyBorder="1" applyAlignment="1">
      <alignment horizontal="center" vertical="center" wrapText="1"/>
    </xf>
    <xf numFmtId="0" fontId="66" fillId="0" borderId="31" xfId="0" applyFont="1" applyFill="1" applyBorder="1" applyAlignment="1">
      <alignment horizontal="center" vertical="center" wrapText="1"/>
    </xf>
    <xf numFmtId="0" fontId="66" fillId="0" borderId="87" xfId="0" applyFont="1" applyFill="1" applyBorder="1" applyAlignment="1">
      <alignment horizontal="center" vertical="center" wrapText="1"/>
    </xf>
    <xf numFmtId="0" fontId="65" fillId="0" borderId="78" xfId="0" applyFont="1" applyFill="1" applyBorder="1" applyAlignment="1">
      <alignment horizontal="center" vertical="center" wrapText="1"/>
    </xf>
    <xf numFmtId="0" fontId="61" fillId="18" borderId="16" xfId="71" applyFont="1" applyFill="1" applyBorder="1" applyAlignment="1">
      <alignment horizontal="center"/>
    </xf>
    <xf numFmtId="0" fontId="61" fillId="18" borderId="17" xfId="71" applyFont="1" applyFill="1" applyBorder="1" applyAlignment="1">
      <alignment horizontal="center"/>
    </xf>
    <xf numFmtId="0" fontId="61" fillId="18" borderId="18" xfId="71" applyFont="1" applyFill="1" applyBorder="1" applyAlignment="1">
      <alignment horizontal="center"/>
    </xf>
    <xf numFmtId="0" fontId="129" fillId="18" borderId="7" xfId="0" applyFont="1" applyFill="1" applyBorder="1" applyAlignment="1">
      <alignment horizontal="center" vertical="center" wrapText="1"/>
    </xf>
    <xf numFmtId="0" fontId="25" fillId="18" borderId="7" xfId="0" applyFont="1" applyFill="1" applyBorder="1" applyAlignment="1">
      <alignment horizontal="center" vertical="center" wrapText="1"/>
    </xf>
    <xf numFmtId="0" fontId="132" fillId="52" borderId="7" xfId="0" applyFont="1" applyFill="1" applyBorder="1" applyAlignment="1">
      <alignment horizontal="center" vertical="center" wrapText="1"/>
    </xf>
    <xf numFmtId="4" fontId="132" fillId="52" borderId="7" xfId="0" applyNumberFormat="1" applyFont="1" applyFill="1" applyBorder="1" applyAlignment="1">
      <alignment horizontal="center" vertical="center" wrapText="1"/>
    </xf>
    <xf numFmtId="2" fontId="132" fillId="52" borderId="7" xfId="0" applyNumberFormat="1" applyFont="1" applyFill="1" applyBorder="1" applyAlignment="1">
      <alignment horizontal="center" vertical="center" wrapText="1"/>
    </xf>
    <xf numFmtId="0" fontId="130" fillId="52" borderId="7" xfId="0" applyFont="1" applyFill="1" applyBorder="1" applyAlignment="1">
      <alignment horizontal="center" vertical="center" wrapText="1"/>
    </xf>
    <xf numFmtId="0" fontId="93" fillId="0" borderId="19" xfId="76" applyFont="1" applyBorder="1" applyAlignment="1">
      <alignment horizontal="center" vertical="center" wrapText="1"/>
    </xf>
    <xf numFmtId="0" fontId="93" fillId="0" borderId="20" xfId="76" applyFont="1" applyBorder="1" applyAlignment="1">
      <alignment horizontal="center" vertical="center" wrapText="1"/>
    </xf>
    <xf numFmtId="2" fontId="93" fillId="52" borderId="19" xfId="76" applyNumberFormat="1" applyFont="1" applyFill="1" applyBorder="1" applyAlignment="1">
      <alignment horizontal="center" vertical="center" wrapText="1"/>
    </xf>
    <xf numFmtId="2" fontId="93" fillId="52" borderId="20" xfId="76" applyNumberFormat="1" applyFont="1" applyFill="1" applyBorder="1" applyAlignment="1">
      <alignment horizontal="center" vertical="center" wrapText="1"/>
    </xf>
    <xf numFmtId="2" fontId="18" fillId="0" borderId="19" xfId="76" applyNumberFormat="1" applyFont="1" applyBorder="1" applyAlignment="1">
      <alignment horizontal="center" vertical="center" wrapText="1"/>
    </xf>
    <xf numFmtId="2" fontId="18" fillId="0" borderId="20" xfId="76" applyNumberFormat="1" applyFont="1" applyBorder="1" applyAlignment="1">
      <alignment horizontal="center" vertical="center" wrapText="1"/>
    </xf>
    <xf numFmtId="0" fontId="97" fillId="0" borderId="19" xfId="76" applyFont="1" applyBorder="1" applyAlignment="1">
      <alignment horizontal="center" vertical="center"/>
    </xf>
    <xf numFmtId="0" fontId="97" fillId="0" borderId="20" xfId="76" applyFont="1" applyBorder="1" applyAlignment="1">
      <alignment horizontal="center" vertical="center"/>
    </xf>
    <xf numFmtId="0" fontId="97" fillId="0" borderId="19" xfId="76" applyFont="1" applyBorder="1" applyAlignment="1">
      <alignment horizontal="center" vertical="center" wrapText="1"/>
    </xf>
    <xf numFmtId="0" fontId="97" fillId="0" borderId="20" xfId="76" applyFont="1" applyBorder="1" applyAlignment="1">
      <alignment horizontal="center" vertical="center" wrapText="1"/>
    </xf>
    <xf numFmtId="0" fontId="68" fillId="0" borderId="8" xfId="76" applyFont="1" applyBorder="1" applyAlignment="1">
      <alignment horizontal="center" vertical="center" wrapText="1"/>
    </xf>
    <xf numFmtId="0" fontId="68" fillId="0" borderId="94" xfId="76" applyFont="1" applyBorder="1" applyAlignment="1">
      <alignment horizontal="center" vertical="center" wrapText="1"/>
    </xf>
    <xf numFmtId="0" fontId="68" fillId="0" borderId="9" xfId="76" applyFont="1" applyBorder="1" applyAlignment="1">
      <alignment horizontal="center" vertical="center" wrapText="1"/>
    </xf>
    <xf numFmtId="0" fontId="68" fillId="0" borderId="91" xfId="76" applyFont="1" applyBorder="1" applyAlignment="1">
      <alignment horizontal="center" vertical="center" wrapText="1"/>
    </xf>
    <xf numFmtId="0" fontId="68" fillId="0" borderId="0" xfId="76" applyFont="1" applyBorder="1" applyAlignment="1">
      <alignment horizontal="center" vertical="center" wrapText="1"/>
    </xf>
    <xf numFmtId="0" fontId="68" fillId="0" borderId="99" xfId="76" applyFont="1" applyBorder="1" applyAlignment="1">
      <alignment horizontal="center" vertical="center" wrapText="1"/>
    </xf>
    <xf numFmtId="0" fontId="68" fillId="0" borderId="56" xfId="76" applyFont="1" applyBorder="1" applyAlignment="1">
      <alignment horizontal="center" vertical="center" wrapText="1"/>
    </xf>
    <xf numFmtId="0" fontId="68" fillId="0" borderId="80" xfId="76" applyFont="1" applyBorder="1" applyAlignment="1">
      <alignment horizontal="center" vertical="center" wrapText="1"/>
    </xf>
    <xf numFmtId="0" fontId="68" fillId="0" borderId="57" xfId="76" applyFont="1" applyBorder="1" applyAlignment="1">
      <alignment horizontal="center" vertical="center" wrapText="1"/>
    </xf>
    <xf numFmtId="0" fontId="102" fillId="0" borderId="19" xfId="76" applyFont="1" applyBorder="1" applyAlignment="1">
      <alignment horizontal="center" vertical="center" wrapText="1"/>
    </xf>
    <xf numFmtId="0" fontId="102" fillId="0" borderId="20" xfId="76" applyFont="1" applyBorder="1" applyAlignment="1">
      <alignment horizontal="center" vertical="center" wrapText="1"/>
    </xf>
    <xf numFmtId="0" fontId="72" fillId="52" borderId="19" xfId="76" applyFont="1" applyFill="1" applyBorder="1" applyAlignment="1">
      <alignment horizontal="center" vertical="center" wrapText="1"/>
    </xf>
    <xf numFmtId="0" fontId="72" fillId="52" borderId="20" xfId="76" applyFont="1" applyFill="1" applyBorder="1" applyAlignment="1">
      <alignment horizontal="center" vertical="center" wrapText="1"/>
    </xf>
    <xf numFmtId="0" fontId="72" fillId="0" borderId="0" xfId="76" applyFont="1" applyFill="1" applyBorder="1" applyAlignment="1">
      <alignment horizontal="center" vertical="center" wrapText="1"/>
    </xf>
    <xf numFmtId="0" fontId="68" fillId="0" borderId="19" xfId="76" applyFont="1" applyBorder="1" applyAlignment="1">
      <alignment horizontal="center" vertical="center"/>
    </xf>
    <xf numFmtId="0" fontId="68" fillId="0" borderId="109" xfId="76" applyFont="1" applyBorder="1" applyAlignment="1">
      <alignment horizontal="center" vertical="center"/>
    </xf>
    <xf numFmtId="0" fontId="68" fillId="0" borderId="20" xfId="76" applyFont="1" applyBorder="1" applyAlignment="1">
      <alignment horizontal="center" vertical="center"/>
    </xf>
    <xf numFmtId="0" fontId="62" fillId="0" borderId="19" xfId="76" applyFont="1" applyBorder="1" applyAlignment="1">
      <alignment horizontal="center" vertical="center" wrapText="1"/>
    </xf>
    <xf numFmtId="0" fontId="62" fillId="0" borderId="20" xfId="76" applyFont="1" applyBorder="1" applyAlignment="1">
      <alignment horizontal="center" vertical="center" wrapText="1"/>
    </xf>
    <xf numFmtId="0" fontId="68" fillId="0" borderId="19" xfId="76" applyFont="1" applyBorder="1" applyAlignment="1">
      <alignment horizontal="center" vertical="center" wrapText="1"/>
    </xf>
    <xf numFmtId="0" fontId="68" fillId="0" borderId="109" xfId="76" applyFont="1" applyBorder="1" applyAlignment="1">
      <alignment horizontal="center" vertical="center" wrapText="1"/>
    </xf>
    <xf numFmtId="0" fontId="68" fillId="0" borderId="20" xfId="76" applyFont="1" applyBorder="1" applyAlignment="1">
      <alignment horizontal="center" vertical="center" wrapText="1"/>
    </xf>
  </cellXfs>
  <cellStyles count="85">
    <cellStyle name="20% - akcent 1" xfId="42" builtinId="30" customBuiltin="1"/>
    <cellStyle name="20% - akcent 2" xfId="46" builtinId="34" customBuiltin="1"/>
    <cellStyle name="20% - akcent 3" xfId="50" builtinId="38" customBuiltin="1"/>
    <cellStyle name="20% - akcent 4" xfId="54" builtinId="42" customBuiltin="1"/>
    <cellStyle name="20% - akcent 5" xfId="58" builtinId="46" customBuiltin="1"/>
    <cellStyle name="20% - akcent 6" xfId="62" builtinId="50" customBuiltin="1"/>
    <cellStyle name="40% - akcent 1" xfId="43" builtinId="31" customBuiltin="1"/>
    <cellStyle name="40% - akcent 2" xfId="47" builtinId="35" customBuiltin="1"/>
    <cellStyle name="40% - akcent 3" xfId="51" builtinId="39" customBuiltin="1"/>
    <cellStyle name="40% - akcent 4" xfId="55" builtinId="43" customBuiltin="1"/>
    <cellStyle name="40% - akcent 5" xfId="59" builtinId="47" customBuiltin="1"/>
    <cellStyle name="40% - akcent 6" xfId="63" builtinId="51" customBuiltin="1"/>
    <cellStyle name="60% - akcent 1" xfId="44" builtinId="32" customBuiltin="1"/>
    <cellStyle name="60% - akcent 2" xfId="48" builtinId="36" customBuiltin="1"/>
    <cellStyle name="60% - akcent 3" xfId="52" builtinId="40" customBuiltin="1"/>
    <cellStyle name="60% - akcent 4" xfId="56" builtinId="44" customBuiltin="1"/>
    <cellStyle name="60% - akcent 5" xfId="60" builtinId="48" customBuiltin="1"/>
    <cellStyle name="60% - akcent 6" xfId="64" builtinId="52" customBuiltin="1"/>
    <cellStyle name="Akcent 1" xfId="41" builtinId="29" customBuiltin="1"/>
    <cellStyle name="Akcent 2" xfId="45" builtinId="33" customBuiltin="1"/>
    <cellStyle name="Akcent 3" xfId="49" builtinId="37" customBuiltin="1"/>
    <cellStyle name="Akcent 4" xfId="53" builtinId="41" customBuiltin="1"/>
    <cellStyle name="Akcent 5" xfId="57" builtinId="45" customBuiltin="1"/>
    <cellStyle name="Akcent 6" xfId="61" builtinId="49" customBuiltin="1"/>
    <cellStyle name="Dane wejściowe" xfId="33" builtinId="20" customBuiltin="1"/>
    <cellStyle name="Dane wyjściowe" xfId="34" builtinId="21" customBuiltin="1"/>
    <cellStyle name="Dobre" xfId="30" builtinId="26" customBuiltin="1"/>
    <cellStyle name="Dziesiętny" xfId="13" builtinId="3"/>
    <cellStyle name="Dziesiętny 2" xfId="2"/>
    <cellStyle name="Dziesiętny 2 2" xfId="74"/>
    <cellStyle name="Dziesiętny 3" xfId="3"/>
    <cellStyle name="Dziesiętny 3 2" xfId="75"/>
    <cellStyle name="Dziesiętny 4" xfId="15"/>
    <cellStyle name="Dziesiętny 5" xfId="19"/>
    <cellStyle name="Dziesiętny 5 2" xfId="83"/>
    <cellStyle name="Dziesiętny 6" xfId="80"/>
    <cellStyle name="Excel Built-in Normal" xfId="1"/>
    <cellStyle name="Heading" xfId="21"/>
    <cellStyle name="Heading1" xfId="22"/>
    <cellStyle name="Komórka połączona" xfId="36" builtinId="24" customBuiltin="1"/>
    <cellStyle name="Komórka zaznaczona" xfId="37" builtinId="23" customBuiltin="1"/>
    <cellStyle name="Nagłówek 1" xfId="26" builtinId="16" customBuiltin="1"/>
    <cellStyle name="Nagłówek 2" xfId="27" builtinId="17" customBuiltin="1"/>
    <cellStyle name="Nagłówek 3" xfId="28" builtinId="18" customBuiltin="1"/>
    <cellStyle name="Nagłówek 4" xfId="29" builtinId="19" customBuiltin="1"/>
    <cellStyle name="Neutralne" xfId="32" builtinId="28" customBuiltin="1"/>
    <cellStyle name="Normalny" xfId="0" builtinId="0"/>
    <cellStyle name="Normalny 2" xfId="4"/>
    <cellStyle name="Normalny 2 2" xfId="5"/>
    <cellStyle name="Normalny 2 3" xfId="6"/>
    <cellStyle name="Normalny 2 4" xfId="7"/>
    <cellStyle name="Normalny 2 4 2" xfId="76"/>
    <cellStyle name="Normalny 2 5" xfId="71"/>
    <cellStyle name="Normalny 2 6" xfId="73"/>
    <cellStyle name="Normalny 3" xfId="8"/>
    <cellStyle name="Normalny 3 2" xfId="77"/>
    <cellStyle name="Normalny 4" xfId="9"/>
    <cellStyle name="Normalny 4 2" xfId="78"/>
    <cellStyle name="Normalny 5" xfId="14"/>
    <cellStyle name="Normalny 6" xfId="18"/>
    <cellStyle name="Normalny 6 2" xfId="68"/>
    <cellStyle name="Normalny 6 3" xfId="67"/>
    <cellStyle name="Normalny 6 3 2" xfId="69"/>
    <cellStyle name="Normalny 6 4" xfId="82"/>
    <cellStyle name="Normalny 7" xfId="65"/>
    <cellStyle name="Normalny 8" xfId="70"/>
    <cellStyle name="Normalny 9" xfId="72"/>
    <cellStyle name="Obliczenia" xfId="35" builtinId="22" customBuiltin="1"/>
    <cellStyle name="Procentowy" xfId="17" builtinId="5"/>
    <cellStyle name="Procentowy 2" xfId="10"/>
    <cellStyle name="Procentowy 3" xfId="20"/>
    <cellStyle name="Procentowy 3 2" xfId="84"/>
    <cellStyle name="Result" xfId="23"/>
    <cellStyle name="Result2" xfId="24"/>
    <cellStyle name="Standard_IB Finanzierung Basic" xfId="11"/>
    <cellStyle name="Suma" xfId="40" builtinId="25" customBuiltin="1"/>
    <cellStyle name="Tekst objaśnienia" xfId="39" builtinId="53" customBuiltin="1"/>
    <cellStyle name="Tekst ostrzeżenia" xfId="38" builtinId="11" customBuiltin="1"/>
    <cellStyle name="Tytuł" xfId="25" builtinId="15" customBuiltin="1"/>
    <cellStyle name="Uwaga 2" xfId="66"/>
    <cellStyle name="Walutowy" xfId="16" builtinId="4"/>
    <cellStyle name="Walutowy 2" xfId="12"/>
    <cellStyle name="Walutowy 2 2" xfId="79"/>
    <cellStyle name="Walutowy 3" xfId="81"/>
    <cellStyle name="Złe" xfId="3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mieszkańców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Charakterystyka_2020!$L$8:$Q$8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Charakterystyka_2020!$L$9:$Q$9</c:f>
              <c:numCache>
                <c:formatCode>#,##0</c:formatCode>
                <c:ptCount val="6"/>
                <c:pt idx="0" formatCode="General">
                  <c:v>10719</c:v>
                </c:pt>
                <c:pt idx="1">
                  <c:v>10683</c:v>
                </c:pt>
                <c:pt idx="2">
                  <c:v>10526</c:v>
                </c:pt>
                <c:pt idx="3">
                  <c:v>10586</c:v>
                </c:pt>
                <c:pt idx="4">
                  <c:v>10596</c:v>
                </c:pt>
                <c:pt idx="5">
                  <c:v>10618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88-4D3E-9572-1FE35003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15136"/>
        <c:axId val="138716672"/>
      </c:barChart>
      <c:catAx>
        <c:axId val="1387151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38716672"/>
        <c:crosses val="autoZero"/>
        <c:auto val="1"/>
        <c:lblAlgn val="ctr"/>
        <c:lblOffset val="100"/>
        <c:noMultiLvlLbl val="0"/>
      </c:catAx>
      <c:valAx>
        <c:axId val="138716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71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</a:t>
            </a:r>
            <a:r>
              <a:rPr lang="pl-PL" sz="1800" b="1" i="0" baseline="0"/>
              <a:t>podmiotów gospodarczych zarejestrowanych na terenie gminy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Charakterystyka_2020!$W$103</c:f>
              <c:strCache>
                <c:ptCount val="1"/>
                <c:pt idx="0">
                  <c:v>Prognoza zarejestrowanych podmiotów gospodarczych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Charakterystyka_2020!$G$5:$R$5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Charakterystyka_2020!$C$5:$R$5</c15:sqref>
                  </c15:fullRef>
                </c:ext>
              </c:extLst>
            </c:numRef>
          </c:cat>
          <c:val>
            <c:numRef>
              <c:f>(Charakterystyka_2020!$G$106:$K$106,Charakterystyka_2020!$L$105,Charakterystyka_2020!$Y$105:$AD$105)</c:f>
              <c:numCache>
                <c:formatCode>General</c:formatCode>
                <c:ptCount val="12"/>
                <c:pt idx="5" formatCode="#,##0">
                  <c:v>1472</c:v>
                </c:pt>
                <c:pt idx="6" formatCode="#,##0">
                  <c:v>1459</c:v>
                </c:pt>
                <c:pt idx="7" formatCode="#,##0">
                  <c:v>1533</c:v>
                </c:pt>
                <c:pt idx="8" formatCode="#,##0">
                  <c:v>1611</c:v>
                </c:pt>
                <c:pt idx="9" formatCode="#,##0">
                  <c:v>1693</c:v>
                </c:pt>
                <c:pt idx="10" formatCode="#,##0">
                  <c:v>1779</c:v>
                </c:pt>
                <c:pt idx="11" formatCode="#,##0">
                  <c:v>1869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(Charakterystyka_2020!$C$106:$K$106,Charakterystyka_2020!$L$105,Charakterystyka_2020!$Y$105:$AD$105)</c15:sqref>
                  </c15:fullRef>
                </c:ext>
              </c:extLst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670-4257-A440-CA1EF869E485}"/>
            </c:ext>
          </c:extLst>
        </c:ser>
        <c:ser>
          <c:idx val="0"/>
          <c:order val="1"/>
          <c:tx>
            <c:strRef>
              <c:f>Charakterystyka_2020!$B$103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Charakterystyka_2020!$G$5:$R$5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Charakterystyka_2020!$C$5:$R$5</c15:sqref>
                  </c15:fullRef>
                </c:ext>
              </c:extLst>
            </c:numRef>
          </c:cat>
          <c:val>
            <c:numRef>
              <c:f>Charakterystyka_2020!$G$105:$L$105</c:f>
              <c:numCache>
                <c:formatCode>#,##0</c:formatCode>
                <c:ptCount val="6"/>
                <c:pt idx="0">
                  <c:v>1459</c:v>
                </c:pt>
                <c:pt idx="1">
                  <c:v>1521</c:v>
                </c:pt>
                <c:pt idx="2">
                  <c:v>1526</c:v>
                </c:pt>
                <c:pt idx="3">
                  <c:v>1545</c:v>
                </c:pt>
                <c:pt idx="4">
                  <c:v>1502</c:v>
                </c:pt>
                <c:pt idx="5">
                  <c:v>1472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Charakterystyka_2020!$C$105:$L$105</c15:sqref>
                  </c15:fullRef>
                </c:ext>
              </c:extLst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670-4257-A440-CA1EF869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75488"/>
        <c:axId val="169777024"/>
      </c:lineChart>
      <c:catAx>
        <c:axId val="1697754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777024"/>
        <c:crosses val="autoZero"/>
        <c:auto val="1"/>
        <c:lblAlgn val="ctr"/>
        <c:lblOffset val="100"/>
        <c:tickLblSkip val="2"/>
        <c:noMultiLvlLbl val="0"/>
      </c:catAx>
      <c:valAx>
        <c:axId val="169777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77548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średniej powierzchni mieszkań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Średnia powierzchnia mieszkań</c:v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[1]Charakterystyka!$C$5:$W$5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Charakterystyka_2020!$C$86:$L$86</c:f>
              <c:numCache>
                <c:formatCode>#,##0.0</c:formatCode>
                <c:ptCount val="10"/>
                <c:pt idx="0">
                  <c:v>71.110306643952299</c:v>
                </c:pt>
                <c:pt idx="1">
                  <c:v>70.945645330535157</c:v>
                </c:pt>
                <c:pt idx="2">
                  <c:v>71.074795725958523</c:v>
                </c:pt>
                <c:pt idx="3">
                  <c:v>70.616424329305758</c:v>
                </c:pt>
                <c:pt idx="4">
                  <c:v>71.541159772911598</c:v>
                </c:pt>
                <c:pt idx="5">
                  <c:v>72.518220253674244</c:v>
                </c:pt>
                <c:pt idx="6">
                  <c:v>72.467703349282303</c:v>
                </c:pt>
                <c:pt idx="7">
                  <c:v>72.683750496622963</c:v>
                </c:pt>
                <c:pt idx="8">
                  <c:v>72.707159624413151</c:v>
                </c:pt>
                <c:pt idx="9">
                  <c:v>72.855522971652007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C16-492E-9A3A-C9CC8C7E3EDE}"/>
            </c:ext>
          </c:extLst>
        </c:ser>
        <c:ser>
          <c:idx val="1"/>
          <c:order val="1"/>
          <c:tx>
            <c:strRef>
              <c:f>Charakterystyka_2020!$AB$84</c:f>
              <c:strCache>
                <c:ptCount val="1"/>
                <c:pt idx="0">
                  <c:v>Prognoza średniej powierzchni mieszkań  [m2]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[1]Charakterystyka!$C$5:$W$5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(Charakterystyka_2020!$C$87:$K$87,Charakterystyka_2020!$L$86,Charakterystyka_2020!$AD$86:$AI$86)</c:f>
              <c:numCache>
                <c:formatCode>General</c:formatCode>
                <c:ptCount val="16"/>
                <c:pt idx="9" formatCode="#,##0.0">
                  <c:v>72.855522971652007</c:v>
                </c:pt>
                <c:pt idx="10" formatCode="#,##0.0">
                  <c:v>72.829663962920051</c:v>
                </c:pt>
                <c:pt idx="11" formatCode="#,##0.0">
                  <c:v>72.814539210074415</c:v>
                </c:pt>
                <c:pt idx="12" formatCode="#,##0.0">
                  <c:v>72.796229971724784</c:v>
                </c:pt>
                <c:pt idx="13" formatCode="#,##0.0">
                  <c:v>72.775046554934818</c:v>
                </c:pt>
                <c:pt idx="14" formatCode="#,##0.0">
                  <c:v>72.751103752759377</c:v>
                </c:pt>
                <c:pt idx="15" formatCode="#,##0.0">
                  <c:v>72.7246956205706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C16-492E-9A3A-C9CC8C7E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19840"/>
        <c:axId val="169621376"/>
      </c:lineChart>
      <c:catAx>
        <c:axId val="169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621376"/>
        <c:crosses val="autoZero"/>
        <c:auto val="1"/>
        <c:lblAlgn val="ctr"/>
        <c:lblOffset val="100"/>
        <c:tickLblSkip val="2"/>
        <c:noMultiLvlLbl val="0"/>
      </c:catAx>
      <c:valAx>
        <c:axId val="169621376"/>
        <c:scaling>
          <c:orientation val="minMax"/>
          <c:min val="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6961984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mieszkańców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Charakterystyka_2024!$L$8:$Q$8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Charakterystyka_2024!$L$9:$Q$9</c:f>
              <c:numCache>
                <c:formatCode>#,##0</c:formatCode>
                <c:ptCount val="6"/>
                <c:pt idx="0" formatCode="General">
                  <c:v>10719</c:v>
                </c:pt>
                <c:pt idx="1">
                  <c:v>10683</c:v>
                </c:pt>
                <c:pt idx="2">
                  <c:v>10526</c:v>
                </c:pt>
                <c:pt idx="3">
                  <c:v>10586</c:v>
                </c:pt>
                <c:pt idx="4">
                  <c:v>10596</c:v>
                </c:pt>
                <c:pt idx="5">
                  <c:v>10618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30-4C95-98CC-D64511E4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9200"/>
        <c:axId val="169700736"/>
      </c:barChart>
      <c:catAx>
        <c:axId val="169699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700736"/>
        <c:crosses val="autoZero"/>
        <c:auto val="1"/>
        <c:lblAlgn val="ctr"/>
        <c:lblOffset val="100"/>
        <c:noMultiLvlLbl val="0"/>
      </c:catAx>
      <c:valAx>
        <c:axId val="16970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699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nowych mieszkań oddanych do użytku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Charakterystyka_2024!$B$46</c:f>
              <c:strCache>
                <c:ptCount val="1"/>
                <c:pt idx="0">
                  <c:v>Liczba nowych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Charakterystyka_2024!$L$47:$Q$47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Charakterystyka_2024!$L$48:$Q$48</c:f>
              <c:numCache>
                <c:formatCode>0</c:formatCode>
                <c:ptCount val="6"/>
                <c:pt idx="0">
                  <c:v>10</c:v>
                </c:pt>
                <c:pt idx="1">
                  <c:v>49</c:v>
                </c:pt>
                <c:pt idx="2">
                  <c:v>73</c:v>
                </c:pt>
                <c:pt idx="3">
                  <c:v>106</c:v>
                </c:pt>
                <c:pt idx="4">
                  <c:v>46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5C-43C3-98D4-DB74442F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730048"/>
        <c:axId val="169731584"/>
      </c:barChart>
      <c:catAx>
        <c:axId val="169730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731584"/>
        <c:crosses val="autoZero"/>
        <c:auto val="1"/>
        <c:lblAlgn val="ctr"/>
        <c:lblOffset val="100"/>
        <c:noMultiLvlLbl val="0"/>
      </c:catAx>
      <c:valAx>
        <c:axId val="1697315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9730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Ogólna powierzchnia mieszkań na terenie gminy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Charakterystyka_2024!$L$66:$P$66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Charakterystyka_2024!$L$67:$P$67</c:f>
              <c:numCache>
                <c:formatCode>General</c:formatCode>
                <c:ptCount val="5"/>
                <c:pt idx="0">
                  <c:v>372656</c:v>
                </c:pt>
                <c:pt idx="1">
                  <c:v>375271</c:v>
                </c:pt>
                <c:pt idx="2">
                  <c:v>379958</c:v>
                </c:pt>
                <c:pt idx="3">
                  <c:v>386716</c:v>
                </c:pt>
                <c:pt idx="4">
                  <c:v>390805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20-42A4-B34A-1CE2479D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30272"/>
        <c:axId val="169831808"/>
      </c:barChart>
      <c:catAx>
        <c:axId val="169830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831808"/>
        <c:crosses val="autoZero"/>
        <c:auto val="1"/>
        <c:lblAlgn val="ctr"/>
        <c:lblOffset val="100"/>
        <c:noMultiLvlLbl val="0"/>
      </c:catAx>
      <c:valAx>
        <c:axId val="16983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8302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Średnia powierzchnia mieszkań na terenie gminy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Charakterystyka_2024!$L$85:$P$85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Charakterystyka_2024!$L$86:$P$86</c:f>
              <c:numCache>
                <c:formatCode>#,##0.0</c:formatCode>
                <c:ptCount val="5"/>
                <c:pt idx="0">
                  <c:v>72.855522971652007</c:v>
                </c:pt>
                <c:pt idx="1">
                  <c:v>72.698760170476561</c:v>
                </c:pt>
                <c:pt idx="2">
                  <c:v>72.691409986607994</c:v>
                </c:pt>
                <c:pt idx="3">
                  <c:v>72.554596622889306</c:v>
                </c:pt>
                <c:pt idx="4">
                  <c:v>72.74851079672375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5B-4B2F-9100-D3384D372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65216"/>
        <c:axId val="169866752"/>
      </c:barChart>
      <c:catAx>
        <c:axId val="1698652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866752"/>
        <c:crosses val="autoZero"/>
        <c:auto val="1"/>
        <c:lblAlgn val="ctr"/>
        <c:lblOffset val="100"/>
        <c:noMultiLvlLbl val="0"/>
      </c:catAx>
      <c:valAx>
        <c:axId val="169866752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698652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Liczba podmiotów gospodarczych zarejestrowanych na terenie gminy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Charakterystyka_2024!$B$103:$D$103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Charakterystyka_2024!$L$104:$Q$104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Charakterystyka_2024!$L$105:$Q$105</c:f>
              <c:numCache>
                <c:formatCode>#,##0</c:formatCode>
                <c:ptCount val="6"/>
                <c:pt idx="0">
                  <c:v>1472</c:v>
                </c:pt>
                <c:pt idx="1">
                  <c:v>1459</c:v>
                </c:pt>
                <c:pt idx="2">
                  <c:v>1484</c:v>
                </c:pt>
                <c:pt idx="3">
                  <c:v>1589</c:v>
                </c:pt>
                <c:pt idx="4">
                  <c:v>1679</c:v>
                </c:pt>
                <c:pt idx="5">
                  <c:v>1889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06-493D-B906-C3FD9F70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49760"/>
        <c:axId val="170151296"/>
      </c:barChart>
      <c:catAx>
        <c:axId val="1701497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151296"/>
        <c:crosses val="autoZero"/>
        <c:auto val="1"/>
        <c:lblAlgn val="ctr"/>
        <c:lblOffset val="100"/>
        <c:noMultiLvlLbl val="0"/>
      </c:catAx>
      <c:valAx>
        <c:axId val="170151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149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mieszkańców</a:t>
            </a:r>
            <a:endParaRPr lang="pl-PL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Charakterystyka_2024!$B$7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Charakterystyka_2024!$L$9:$Q$9</c:f>
              <c:numCache>
                <c:formatCode>#,##0</c:formatCode>
                <c:ptCount val="6"/>
                <c:pt idx="0" formatCode="General">
                  <c:v>10719</c:v>
                </c:pt>
                <c:pt idx="1">
                  <c:v>10683</c:v>
                </c:pt>
                <c:pt idx="2">
                  <c:v>10526</c:v>
                </c:pt>
                <c:pt idx="3">
                  <c:v>10586</c:v>
                </c:pt>
                <c:pt idx="4">
                  <c:v>10596</c:v>
                </c:pt>
                <c:pt idx="5">
                  <c:v>10618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181-4FE8-AE76-8A4ADA7B9F5E}"/>
            </c:ext>
          </c:extLst>
        </c:ser>
        <c:ser>
          <c:idx val="1"/>
          <c:order val="1"/>
          <c:tx>
            <c:strRef>
              <c:f>Charakterystyka_2024!$AB$7</c:f>
              <c:strCache>
                <c:ptCount val="1"/>
                <c:pt idx="0">
                  <c:v>Prognoza liczby mieszkańców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(Charakterystyka_2024!$L$10:$P$10,Charakterystyka_2024!$AD$9:$AI$9)</c:f>
              <c:numCache>
                <c:formatCode>General</c:formatCode>
                <c:ptCount val="11"/>
                <c:pt idx="5" formatCode="#,##0">
                  <c:v>10618</c:v>
                </c:pt>
                <c:pt idx="6" formatCode="#,##0">
                  <c:v>10597</c:v>
                </c:pt>
                <c:pt idx="7" formatCode="#,##0">
                  <c:v>10576</c:v>
                </c:pt>
                <c:pt idx="8" formatCode="#,##0">
                  <c:v>10555</c:v>
                </c:pt>
                <c:pt idx="9" formatCode="#,##0">
                  <c:v>10535</c:v>
                </c:pt>
                <c:pt idx="10" formatCode="#,##0">
                  <c:v>10515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181-4FE8-AE76-8A4ADA7B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86240"/>
        <c:axId val="170187776"/>
      </c:lineChart>
      <c:catAx>
        <c:axId val="1701862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187776"/>
        <c:crosses val="autoZero"/>
        <c:auto val="1"/>
        <c:lblAlgn val="ctr"/>
        <c:lblOffset val="100"/>
        <c:tickLblSkip val="1"/>
        <c:noMultiLvlLbl val="0"/>
      </c:catAx>
      <c:valAx>
        <c:axId val="170187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1862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Charakterystyka_2024!$B$26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Charakterystyka_2024!$L$27:$P$27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Charakterystyka_2024!$L$28:$P$28</c:f>
              <c:numCache>
                <c:formatCode>General</c:formatCode>
                <c:ptCount val="5"/>
                <c:pt idx="0">
                  <c:v>5115</c:v>
                </c:pt>
                <c:pt idx="1">
                  <c:v>5162</c:v>
                </c:pt>
                <c:pt idx="2">
                  <c:v>5227</c:v>
                </c:pt>
                <c:pt idx="3">
                  <c:v>5330</c:v>
                </c:pt>
                <c:pt idx="4">
                  <c:v>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67-4CFF-AC36-DF3957BC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08640"/>
        <c:axId val="170235008"/>
      </c:barChart>
      <c:catAx>
        <c:axId val="1702086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235008"/>
        <c:crosses val="autoZero"/>
        <c:auto val="1"/>
        <c:lblAlgn val="ctr"/>
        <c:lblOffset val="100"/>
        <c:noMultiLvlLbl val="0"/>
      </c:catAx>
      <c:valAx>
        <c:axId val="17023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208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</a:t>
            </a:r>
            <a:endParaRPr lang="pl-PL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Charakterystyka_2024!$B$26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Charakterystyka_2024!$L$28:$P$28</c:f>
              <c:numCache>
                <c:formatCode>General</c:formatCode>
                <c:ptCount val="5"/>
                <c:pt idx="0">
                  <c:v>5115</c:v>
                </c:pt>
                <c:pt idx="1">
                  <c:v>5162</c:v>
                </c:pt>
                <c:pt idx="2">
                  <c:v>5227</c:v>
                </c:pt>
                <c:pt idx="3">
                  <c:v>5330</c:v>
                </c:pt>
                <c:pt idx="4">
                  <c:v>5372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BD9E-42DE-A152-127309DB27C6}"/>
            </c:ext>
          </c:extLst>
        </c:ser>
        <c:ser>
          <c:idx val="1"/>
          <c:order val="1"/>
          <c:tx>
            <c:strRef>
              <c:f>Charakterystyka_2024!$AB$26</c:f>
              <c:strCache>
                <c:ptCount val="1"/>
                <c:pt idx="0">
                  <c:v>Prognoza liczby mieszkań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(Charakterystyka_2024!$L$29:$O$29,Charakterystyka_2024!$P$28,Charakterystyka_2024!$AD$28:$AI$28)</c:f>
              <c:numCache>
                <c:formatCode>General</c:formatCode>
                <c:ptCount val="11"/>
                <c:pt idx="4">
                  <c:v>5372</c:v>
                </c:pt>
                <c:pt idx="5" formatCode="#,##0">
                  <c:v>5438</c:v>
                </c:pt>
                <c:pt idx="6" formatCode="#,##0">
                  <c:v>5505</c:v>
                </c:pt>
                <c:pt idx="7" formatCode="#,##0">
                  <c:v>5572</c:v>
                </c:pt>
                <c:pt idx="8" formatCode="#,##0">
                  <c:v>5640</c:v>
                </c:pt>
                <c:pt idx="9" formatCode="#,##0">
                  <c:v>5709</c:v>
                </c:pt>
                <c:pt idx="10" formatCode="#,##0">
                  <c:v>5779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D9E-42DE-A152-127309DB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257024"/>
        <c:axId val="170262912"/>
      </c:lineChart>
      <c:catAx>
        <c:axId val="1702570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262912"/>
        <c:crosses val="autoZero"/>
        <c:auto val="1"/>
        <c:lblAlgn val="ctr"/>
        <c:lblOffset val="100"/>
        <c:tickLblSkip val="2"/>
        <c:noMultiLvlLbl val="0"/>
      </c:catAx>
      <c:valAx>
        <c:axId val="1702629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2570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nowych mieszkań oddanych do użytku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Charakterystyka_2020!$B$46</c:f>
              <c:strCache>
                <c:ptCount val="1"/>
                <c:pt idx="0">
                  <c:v>Liczba nowych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Charakterystyka_2020!$L$47:$Q$47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Charakterystyka_2020!$L$48:$Q$48</c:f>
              <c:numCache>
                <c:formatCode>0</c:formatCode>
                <c:ptCount val="6"/>
                <c:pt idx="0">
                  <c:v>10</c:v>
                </c:pt>
                <c:pt idx="1">
                  <c:v>49</c:v>
                </c:pt>
                <c:pt idx="2">
                  <c:v>73</c:v>
                </c:pt>
                <c:pt idx="3">
                  <c:v>106</c:v>
                </c:pt>
                <c:pt idx="4">
                  <c:v>46</c:v>
                </c:pt>
                <c:pt idx="5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7E-4786-84ED-8819A3B5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158528"/>
        <c:axId val="169160064"/>
      </c:barChart>
      <c:catAx>
        <c:axId val="169158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160064"/>
        <c:crosses val="autoZero"/>
        <c:auto val="1"/>
        <c:lblAlgn val="ctr"/>
        <c:lblOffset val="100"/>
        <c:noMultiLvlLbl val="0"/>
      </c:catAx>
      <c:valAx>
        <c:axId val="1691600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69158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Prognoza powierzchni mieszkań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Charakterystyka_2024!$B$65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Charakterystyka_2024!$L$67:$P$67</c:f>
              <c:numCache>
                <c:formatCode>General</c:formatCode>
                <c:ptCount val="5"/>
                <c:pt idx="0">
                  <c:v>372656</c:v>
                </c:pt>
                <c:pt idx="1">
                  <c:v>375271</c:v>
                </c:pt>
                <c:pt idx="2">
                  <c:v>379958</c:v>
                </c:pt>
                <c:pt idx="3">
                  <c:v>386716</c:v>
                </c:pt>
                <c:pt idx="4">
                  <c:v>390805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129-4E68-9DFB-6419E86DE38E}"/>
            </c:ext>
          </c:extLst>
        </c:ser>
        <c:ser>
          <c:idx val="1"/>
          <c:order val="1"/>
          <c:tx>
            <c:strRef>
              <c:f>Charakterystyka_2024!$AB$65</c:f>
              <c:strCache>
                <c:ptCount val="1"/>
                <c:pt idx="0">
                  <c:v>Prognoza ogólnej powierzchni mieszkań [m2]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(Charakterystyka_2024!$L$68:$O$68,Charakterystyka_2024!$P$67,Charakterystyka_2024!$AD$67:$AI$67)</c:f>
              <c:numCache>
                <c:formatCode>General</c:formatCode>
                <c:ptCount val="11"/>
                <c:pt idx="4">
                  <c:v>390805</c:v>
                </c:pt>
                <c:pt idx="5" formatCode="#,##0">
                  <c:v>395478</c:v>
                </c:pt>
                <c:pt idx="6" formatCode="#,##0">
                  <c:v>400207</c:v>
                </c:pt>
                <c:pt idx="7" formatCode="#,##0">
                  <c:v>404993</c:v>
                </c:pt>
                <c:pt idx="8" formatCode="#,##0">
                  <c:v>409836</c:v>
                </c:pt>
                <c:pt idx="9" formatCode="#,##0">
                  <c:v>414737</c:v>
                </c:pt>
                <c:pt idx="10" formatCode="#,##0">
                  <c:v>419696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129-4E68-9DFB-6419E86D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01696"/>
        <c:axId val="170311680"/>
      </c:lineChart>
      <c:catAx>
        <c:axId val="1703016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311680"/>
        <c:crosses val="autoZero"/>
        <c:auto val="1"/>
        <c:lblAlgn val="ctr"/>
        <c:lblOffset val="100"/>
        <c:tickLblSkip val="2"/>
        <c:noMultiLvlLbl val="0"/>
      </c:catAx>
      <c:valAx>
        <c:axId val="1703116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0301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</a:t>
            </a:r>
            <a:r>
              <a:rPr lang="pl-PL" sz="1800" b="1" i="0" baseline="0"/>
              <a:t>podmiotów gospodarczych zarejestrowanych na terenie gminy</a:t>
            </a:r>
            <a:endParaRPr lang="pl-PL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Charakterystyka_2024!$B$103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Charakterystyka_2024!$L$5:$V$6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Charakterystyka_2024!$L$105:$Q$105</c:f>
              <c:numCache>
                <c:formatCode>#,##0</c:formatCode>
                <c:ptCount val="6"/>
                <c:pt idx="0">
                  <c:v>1472</c:v>
                </c:pt>
                <c:pt idx="1">
                  <c:v>1459</c:v>
                </c:pt>
                <c:pt idx="2">
                  <c:v>1484</c:v>
                </c:pt>
                <c:pt idx="3">
                  <c:v>1589</c:v>
                </c:pt>
                <c:pt idx="4">
                  <c:v>1679</c:v>
                </c:pt>
                <c:pt idx="5">
                  <c:v>1889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EF5-4351-A835-602581029E26}"/>
            </c:ext>
          </c:extLst>
        </c:ser>
        <c:ser>
          <c:idx val="1"/>
          <c:order val="1"/>
          <c:tx>
            <c:strRef>
              <c:f>Charakterystyka_2024!$W$103</c:f>
              <c:strCache>
                <c:ptCount val="1"/>
                <c:pt idx="0">
                  <c:v>Prognoza zarejestrowanych podmiotów gospodarczych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strRef>
              <c:f>Charakterystyka_2024!$L$5:$V$6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(Charakterystyka_2024!$L$106:$P$106,Charakterystyka_2024!$Y$105:$AD$105)</c:f>
              <c:numCache>
                <c:formatCode>General</c:formatCode>
                <c:ptCount val="11"/>
                <c:pt idx="5" formatCode="#,##0">
                  <c:v>1889</c:v>
                </c:pt>
                <c:pt idx="6" formatCode="#,##0">
                  <c:v>1985</c:v>
                </c:pt>
                <c:pt idx="7" formatCode="#,##0">
                  <c:v>2086</c:v>
                </c:pt>
                <c:pt idx="8" formatCode="#,##0">
                  <c:v>2192</c:v>
                </c:pt>
                <c:pt idx="9" formatCode="#,##0">
                  <c:v>2304</c:v>
                </c:pt>
                <c:pt idx="10" formatCode="#,##0">
                  <c:v>2421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F5-4351-A835-60258102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11520"/>
        <c:axId val="170413056"/>
      </c:lineChart>
      <c:catAx>
        <c:axId val="170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413056"/>
        <c:crosses val="autoZero"/>
        <c:auto val="1"/>
        <c:lblAlgn val="ctr"/>
        <c:lblOffset val="100"/>
        <c:tickLblSkip val="2"/>
        <c:noMultiLvlLbl val="0"/>
      </c:catAx>
      <c:valAx>
        <c:axId val="17041305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04115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średniej powierzchni mieszkań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Średnia powierzchnia mieszkań</c:v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Charakterystyka_2024!$L$86:$P$86</c:f>
              <c:numCache>
                <c:formatCode>#,##0.0</c:formatCode>
                <c:ptCount val="5"/>
                <c:pt idx="0">
                  <c:v>72.855522971652007</c:v>
                </c:pt>
                <c:pt idx="1">
                  <c:v>72.698760170476561</c:v>
                </c:pt>
                <c:pt idx="2">
                  <c:v>72.691409986607994</c:v>
                </c:pt>
                <c:pt idx="3">
                  <c:v>72.554596622889306</c:v>
                </c:pt>
                <c:pt idx="4">
                  <c:v>72.74851079672375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181-4C95-BD3B-782D965D0C99}"/>
            </c:ext>
          </c:extLst>
        </c:ser>
        <c:ser>
          <c:idx val="1"/>
          <c:order val="1"/>
          <c:tx>
            <c:strRef>
              <c:f>Charakterystyka_2024!$AB$84</c:f>
              <c:strCache>
                <c:ptCount val="1"/>
                <c:pt idx="0">
                  <c:v>Prognoza średniej powierzchni mieszkań  [m2]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Charakterystyka_2024!$L$5:$V$5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(Charakterystyka_2024!$L$87:$O$87,Charakterystyka_2024!$P$86,Charakterystyka_2024!$AD$86:$AI$86)</c:f>
              <c:numCache>
                <c:formatCode>General</c:formatCode>
                <c:ptCount val="11"/>
                <c:pt idx="4" formatCode="#,##0.0">
                  <c:v>72.74851079672375</c:v>
                </c:pt>
                <c:pt idx="5" formatCode="#,##0.0">
                  <c:v>72.72178232176519</c:v>
                </c:pt>
                <c:pt idx="6" formatCode="#,##0.0">
                  <c:v>72.695063667095269</c:v>
                </c:pt>
                <c:pt idx="7" formatCode="#,##0.0">
                  <c:v>72.668354829105908</c:v>
                </c:pt>
                <c:pt idx="8" formatCode="#,##0.0">
                  <c:v>72.641655804190378</c:v>
                </c:pt>
                <c:pt idx="9" formatCode="#,##0.0">
                  <c:v>72.614966588743272</c:v>
                </c:pt>
                <c:pt idx="10" formatCode="#,##0.0">
                  <c:v>72.588287179160488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181-4C95-BD3B-782D965D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39424"/>
        <c:axId val="170440960"/>
      </c:lineChart>
      <c:catAx>
        <c:axId val="1704394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0440960"/>
        <c:crosses val="autoZero"/>
        <c:auto val="1"/>
        <c:lblAlgn val="ctr"/>
        <c:lblOffset val="100"/>
        <c:tickLblSkip val="2"/>
        <c:noMultiLvlLbl val="0"/>
      </c:catAx>
      <c:valAx>
        <c:axId val="170440960"/>
        <c:scaling>
          <c:orientation val="minMax"/>
          <c:min val="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704394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Zużycie gazu</a:t>
            </a:r>
            <a:r>
              <a:rPr lang="pl-PL" baseline="0"/>
              <a:t> </a:t>
            </a:r>
            <a:r>
              <a:rPr lang="pl-PL"/>
              <a:t>- emisja CO</a:t>
            </a:r>
            <a:r>
              <a:rPr lang="pl-PL" baseline="-25000"/>
              <a:t>2</a:t>
            </a:r>
            <a:r>
              <a:rPr lang="pl-PL"/>
              <a:t> [Mg CO</a:t>
            </a:r>
            <a:r>
              <a:rPr lang="pl-PL" baseline="-25000"/>
              <a:t>2</a:t>
            </a:r>
            <a:r>
              <a:rPr lang="pl-PL"/>
              <a:t>]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(Gaz_2020!#REF!,Gaz_2020!$H$7,Gaz_2020!$H$16)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5B6-4EAC-A463-E1B288CF4282}"/>
            </c:ext>
          </c:extLst>
        </c:ser>
        <c:ser>
          <c:idx val="1"/>
          <c:order val="1"/>
          <c:invertIfNegative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(Gaz_2020!#REF!,Gaz_2020!$H$8,Gaz_2020!$H$17)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5B6-4EAC-A463-E1B288CF4282}"/>
            </c:ext>
          </c:extLst>
        </c:ser>
        <c:ser>
          <c:idx val="2"/>
          <c:order val="2"/>
          <c:invertIfNegative val="0"/>
          <c:val>
            <c:numRef>
              <c:f>(Gaz_2020!#REF!,Gaz_2020!$H$9,Gaz_2020!$H$18)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5B6-4EAC-A463-E1B288CF4282}"/>
            </c:ext>
          </c:extLst>
        </c:ser>
        <c:ser>
          <c:idx val="3"/>
          <c:order val="3"/>
          <c:invertIfNegative val="0"/>
          <c:val>
            <c:numRef>
              <c:f>(Gaz!#REF!,Gaz!#REF!,Gaz!#REF!)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B5B6-4EAC-A463-E1B288CF4282}"/>
            </c:ext>
          </c:extLst>
        </c:ser>
        <c:ser>
          <c:idx val="4"/>
          <c:order val="4"/>
          <c:invertIfNegative val="0"/>
          <c:val>
            <c:numRef>
              <c:f>(Gaz_2020!#REF!,Gaz_2020!$H$12,Gaz_2020!#REF!)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B5B6-4EAC-A463-E1B288CF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768256"/>
        <c:axId val="170769792"/>
      </c:barChart>
      <c:catAx>
        <c:axId val="17076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0769792"/>
        <c:crosses val="autoZero"/>
        <c:auto val="1"/>
        <c:lblAlgn val="ctr"/>
        <c:lblOffset val="100"/>
        <c:noMultiLvlLbl val="0"/>
      </c:catAx>
      <c:valAx>
        <c:axId val="170769792"/>
        <c:scaling>
          <c:orientation val="minMax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7076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Zużycie gazu [Nm</a:t>
            </a:r>
            <a:r>
              <a:rPr lang="pl-PL" baseline="30000"/>
              <a:t>3</a:t>
            </a:r>
            <a:r>
              <a:rPr lang="pl-PL"/>
              <a:t>]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(Gaz_2020!#REF!,Gaz_2020!$D$7,Gaz_2020!$D$16)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DF-4CCE-9640-CD289E1005A4}"/>
            </c:ext>
          </c:extLst>
        </c:ser>
        <c:ser>
          <c:idx val="1"/>
          <c:order val="1"/>
          <c:invertIfNegative val="0"/>
          <c:cat>
            <c:multiLvlStrRef>
              <c:f>('En. elektryczna_2020'!#REF!,'En. elektryczna_2020'!$B$5,'En. elektryczna_2020'!$B$14:$C$14)</c:f>
            </c:multiLvlStrRef>
          </c:cat>
          <c:val>
            <c:numRef>
              <c:f>(Gaz_2020!#REF!,Gaz_2020!$D$8,Gaz_2020!$D$17)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CDF-4CCE-9640-CD289E1005A4}"/>
            </c:ext>
          </c:extLst>
        </c:ser>
        <c:ser>
          <c:idx val="2"/>
          <c:order val="2"/>
          <c:invertIfNegative val="0"/>
          <c:val>
            <c:numRef>
              <c:f>(Gaz_2020!#REF!,Gaz_2020!$D$9,Gaz_2020!$D$18)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CDF-4CCE-9640-CD289E1005A4}"/>
            </c:ext>
          </c:extLst>
        </c:ser>
        <c:ser>
          <c:idx val="3"/>
          <c:order val="3"/>
          <c:invertIfNegative val="0"/>
          <c:val>
            <c:numRef>
              <c:f>(Gaz_2020!#REF!,Gaz_2020!$D$12,Gaz_2020!#REF!)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CDF-4CCE-9640-CD289E1005A4}"/>
            </c:ext>
          </c:extLst>
        </c:ser>
        <c:ser>
          <c:idx val="4"/>
          <c:order val="4"/>
          <c:invertIfNegative val="0"/>
          <c:val>
            <c:numRef>
              <c:f>(Gaz_2020!#REF!,Gaz_2020!$D$12,Gaz_2020!#REF!)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CDF-4CCE-9640-CD289E10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078400"/>
        <c:axId val="171079936"/>
      </c:barChart>
      <c:catAx>
        <c:axId val="17107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079936"/>
        <c:crosses val="autoZero"/>
        <c:auto val="1"/>
        <c:lblAlgn val="ctr"/>
        <c:lblOffset val="100"/>
        <c:noMultiLvlLbl val="0"/>
      </c:catAx>
      <c:valAx>
        <c:axId val="171079936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17107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z ankietyzacji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'Ciepło założenia'!$B$17:$B$21</c:f>
              <c:strCache>
                <c:ptCount val="1"/>
                <c:pt idx="0">
                  <c:v>węgiel olej opałowy energia elektryczna gaz biomasa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327-4A63-B81E-3533ACD6B92B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327-4A63-B81E-3533ACD6B92B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327-4A63-B81E-3533ACD6B9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327-4A63-B81E-3533ACD6B9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327-4A63-B81E-3533ACD6B9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 założenia'!$B$17:$B$21</c:f>
              <c:strCache>
                <c:ptCount val="5"/>
                <c:pt idx="0">
                  <c:v>węgiel</c:v>
                </c:pt>
                <c:pt idx="1">
                  <c:v>olej opałowy</c:v>
                </c:pt>
                <c:pt idx="2">
                  <c:v>energia elektryczna</c:v>
                </c:pt>
                <c:pt idx="3">
                  <c:v>gaz</c:v>
                </c:pt>
                <c:pt idx="4">
                  <c:v>biomasa</c:v>
                </c:pt>
              </c:strCache>
            </c:strRef>
          </c:cat>
          <c:val>
            <c:numRef>
              <c:f>'Ciepło założenia'!$C$17:$C$21</c:f>
              <c:numCache>
                <c:formatCode>0.0%</c:formatCode>
                <c:ptCount val="5"/>
                <c:pt idx="0">
                  <c:v>0.32472463086133874</c:v>
                </c:pt>
                <c:pt idx="1">
                  <c:v>1.7628225916322241E-2</c:v>
                </c:pt>
                <c:pt idx="2">
                  <c:v>2.1160206490751583E-2</c:v>
                </c:pt>
                <c:pt idx="3">
                  <c:v>0.57414233985154783</c:v>
                </c:pt>
                <c:pt idx="4">
                  <c:v>6.2344596880039634E-2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327-4A63-B81E-3533ACD6B9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353126756860238"/>
          <c:y val="0.29033415599169504"/>
          <c:w val="0.30988364538472069"/>
          <c:h val="0.48445567438398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STRUKTURA PALIW</a:t>
            </a:r>
          </a:p>
        </c:rich>
      </c:tx>
      <c:layout>
        <c:manualLayout>
          <c:xMode val="edge"/>
          <c:yMode val="edge"/>
          <c:x val="0.39869257251934415"/>
          <c:y val="3.68794408621077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 w="31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solidFill>
                  <a:schemeClr val="bg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F4D-47FD-B1B4-EE171AD0FE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4D-47FD-B1B4-EE171AD0FE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DD-463E-808B-0A235B77127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4D-47FD-B1B4-EE171AD0FE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F4D-47FD-B1B4-EE171AD0FE0E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4D-47FD-B1B4-EE171AD0FE0E}"/>
              </c:ext>
            </c:extLst>
          </c:dPt>
          <c:dLbls>
            <c:dLbl>
              <c:idx val="1"/>
              <c:layout>
                <c:manualLayout>
                  <c:x val="-3.7069502675801891E-2"/>
                  <c:y val="-7.1227803926465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4D-47FD-B1B4-EE171AD0FE0E}"/>
                </c:ext>
              </c:extLst>
            </c:dLbl>
            <c:dLbl>
              <c:idx val="3"/>
              <c:layout>
                <c:manualLayout>
                  <c:x val="5.282544227426117E-2"/>
                  <c:y val="1.9767916405409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4D-47FD-B1B4-EE171AD0F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 założenia'!$B$32:$B$37</c:f>
              <c:strCache>
                <c:ptCount val="6"/>
                <c:pt idx="0">
                  <c:v>węgiel</c:v>
                </c:pt>
                <c:pt idx="1">
                  <c:v>olej opałowy</c:v>
                </c:pt>
                <c:pt idx="2">
                  <c:v>gaz</c:v>
                </c:pt>
                <c:pt idx="3">
                  <c:v>energia elektryczna</c:v>
                </c:pt>
                <c:pt idx="4">
                  <c:v>biomasa</c:v>
                </c:pt>
                <c:pt idx="5">
                  <c:v>ciepło sieciowe</c:v>
                </c:pt>
              </c:strCache>
            </c:strRef>
          </c:cat>
          <c:val>
            <c:numRef>
              <c:f>'Ciepło założenia'!$C$32:$C$37</c:f>
              <c:numCache>
                <c:formatCode>0.00%</c:formatCode>
                <c:ptCount val="6"/>
                <c:pt idx="0">
                  <c:v>0.40081113149105047</c:v>
                </c:pt>
                <c:pt idx="1">
                  <c:v>2.17587103169826E-2</c:v>
                </c:pt>
                <c:pt idx="2">
                  <c:v>0.36349169882346577</c:v>
                </c:pt>
                <c:pt idx="3">
                  <c:v>2.6118272222361859E-2</c:v>
                </c:pt>
                <c:pt idx="4">
                  <c:v>7.6952611668415286E-2</c:v>
                </c:pt>
                <c:pt idx="5">
                  <c:v>0.11086757547772412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4D-47FD-B1B4-EE171AD0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310290759109649E-2"/>
          <c:y val="9.1035481328079829E-2"/>
          <c:w val="0.94137941848178053"/>
          <c:h val="0.1273053280405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22-4EE1-AFE2-766AFF07E8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22-4EE1-AFE2-766AFF07E8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22-4EE1-AFE2-766AFF07E8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22-4EE1-AFE2-766AFF07E8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22-4EE1-AFE2-766AFF07E8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22-4EE1-AFE2-766AFF07E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'Ciepło_gosp. dom._2020'!$E$5:$E$10</c:f>
              <c:strCache>
                <c:ptCount val="6"/>
                <c:pt idx="0">
                  <c:v>ciepło sieciowe</c:v>
                </c:pt>
                <c:pt idx="1">
                  <c:v>gaz</c:v>
                </c:pt>
                <c:pt idx="2">
                  <c:v>węgiel</c:v>
                </c:pt>
                <c:pt idx="3">
                  <c:v>en. elektryczna</c:v>
                </c:pt>
                <c:pt idx="4">
                  <c:v>olej opałowy</c:v>
                </c:pt>
                <c:pt idx="5">
                  <c:v>biomasa</c:v>
                </c:pt>
              </c:strCache>
            </c:strRef>
          </c:cat>
          <c:val>
            <c:numRef>
              <c:f>'Ciepło_gosp. dom._2020'!$F$5:$F$10</c:f>
              <c:numCache>
                <c:formatCode>0.00%</c:formatCode>
                <c:ptCount val="6"/>
                <c:pt idx="0">
                  <c:v>0.11086757547772412</c:v>
                </c:pt>
                <c:pt idx="1">
                  <c:v>0.36349169882346577</c:v>
                </c:pt>
                <c:pt idx="2">
                  <c:v>0.40081113149105047</c:v>
                </c:pt>
                <c:pt idx="3">
                  <c:v>2.6118272222361859E-2</c:v>
                </c:pt>
                <c:pt idx="4">
                  <c:v>2.17587103169826E-2</c:v>
                </c:pt>
                <c:pt idx="5">
                  <c:v>7.6952611668415286E-2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31-4777-B677-448CD69DA73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C3-404B-8734-7E6A65F13D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C3-404B-8734-7E6A65F13D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C3-404B-8734-7E6A65F13D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C3-404B-8734-7E6A65F13D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C3-404B-8734-7E6A65F13D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4C3-404B-8734-7E6A65F13D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'Ciepło_gosp. dom._2024'!$E$5:$E$10</c:f>
              <c:strCache>
                <c:ptCount val="6"/>
                <c:pt idx="0">
                  <c:v>ciepło sieciowe</c:v>
                </c:pt>
                <c:pt idx="1">
                  <c:v>gaz</c:v>
                </c:pt>
                <c:pt idx="2">
                  <c:v>węgiel</c:v>
                </c:pt>
                <c:pt idx="3">
                  <c:v>en. elektryczna</c:v>
                </c:pt>
                <c:pt idx="4">
                  <c:v>olej opałowy</c:v>
                </c:pt>
                <c:pt idx="5">
                  <c:v>biomasa</c:v>
                </c:pt>
              </c:strCache>
            </c:strRef>
          </c:cat>
          <c:val>
            <c:numRef>
              <c:f>'Ciepło_gosp. dom._2024'!$F$5:$F$10</c:f>
              <c:numCache>
                <c:formatCode>0.00%</c:formatCode>
                <c:ptCount val="6"/>
                <c:pt idx="0">
                  <c:v>0.11086757547772412</c:v>
                </c:pt>
                <c:pt idx="1">
                  <c:v>0.36349169882346577</c:v>
                </c:pt>
                <c:pt idx="2">
                  <c:v>0.40081113149105047</c:v>
                </c:pt>
                <c:pt idx="3">
                  <c:v>2.6118272222361859E-2</c:v>
                </c:pt>
                <c:pt idx="4">
                  <c:v>2.17587103169826E-2</c:v>
                </c:pt>
                <c:pt idx="5">
                  <c:v>7.6952611668415286E-2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4C3-404B-8734-7E6A65F13DE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Ogólna powierzchnia mieszkań na terenie gminy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Charakterystyka_2020!$L$66:$P$66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Charakterystyka_2020!$L$67:$P$67</c:f>
              <c:numCache>
                <c:formatCode>General</c:formatCode>
                <c:ptCount val="5"/>
                <c:pt idx="0">
                  <c:v>372656</c:v>
                </c:pt>
                <c:pt idx="1">
                  <c:v>375271</c:v>
                </c:pt>
                <c:pt idx="2">
                  <c:v>379958</c:v>
                </c:pt>
                <c:pt idx="3">
                  <c:v>386716</c:v>
                </c:pt>
                <c:pt idx="4">
                  <c:v>390805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F2-472E-BC37-56E801E0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01664"/>
        <c:axId val="169203200"/>
      </c:barChart>
      <c:catAx>
        <c:axId val="1692016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203200"/>
        <c:crosses val="autoZero"/>
        <c:auto val="1"/>
        <c:lblAlgn val="ctr"/>
        <c:lblOffset val="100"/>
        <c:noMultiLvlLbl val="0"/>
      </c:catAx>
      <c:valAx>
        <c:axId val="16920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201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Średnia powierzchnia mieszkań na terenie gminy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Charakterystyka_2020!$L$85:$P$85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Charakterystyka_2020!$L$86:$P$86</c:f>
              <c:numCache>
                <c:formatCode>#,##0.0</c:formatCode>
                <c:ptCount val="5"/>
                <c:pt idx="0">
                  <c:v>72.855522971652007</c:v>
                </c:pt>
                <c:pt idx="1">
                  <c:v>72.698760170476561</c:v>
                </c:pt>
                <c:pt idx="2">
                  <c:v>72.691409986607994</c:v>
                </c:pt>
                <c:pt idx="3">
                  <c:v>72.554596622889306</c:v>
                </c:pt>
                <c:pt idx="4">
                  <c:v>72.74851079672375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0C-4770-B8BB-9537FA9CB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24064"/>
        <c:axId val="169225600"/>
      </c:barChart>
      <c:catAx>
        <c:axId val="169224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225600"/>
        <c:crosses val="autoZero"/>
        <c:auto val="1"/>
        <c:lblAlgn val="ctr"/>
        <c:lblOffset val="100"/>
        <c:noMultiLvlLbl val="0"/>
      </c:catAx>
      <c:valAx>
        <c:axId val="169225600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169224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Liczba podmiotów gospodarczych zarejestrowanych na terenie gminy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Charakterystyka_2020!$B$103:$D$103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Charakterystyka_2020!$L$104:$Q$104</c:f>
              <c:numCache>
                <c:formatCode>0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Charakterystyka_2020!$L$105:$Q$105</c:f>
              <c:numCache>
                <c:formatCode>#,##0</c:formatCode>
                <c:ptCount val="6"/>
                <c:pt idx="0">
                  <c:v>1472</c:v>
                </c:pt>
                <c:pt idx="1">
                  <c:v>1459</c:v>
                </c:pt>
                <c:pt idx="2">
                  <c:v>1484</c:v>
                </c:pt>
                <c:pt idx="3">
                  <c:v>1589</c:v>
                </c:pt>
                <c:pt idx="4">
                  <c:v>1679</c:v>
                </c:pt>
                <c:pt idx="5">
                  <c:v>1889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EC-4C24-84E7-B9ED42AF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48256"/>
        <c:axId val="169249792"/>
      </c:barChart>
      <c:catAx>
        <c:axId val="1692482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249792"/>
        <c:crosses val="autoZero"/>
        <c:auto val="1"/>
        <c:lblAlgn val="ctr"/>
        <c:lblOffset val="100"/>
        <c:noMultiLvlLbl val="0"/>
      </c:catAx>
      <c:valAx>
        <c:axId val="169249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9248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mieszkańców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Charakterystyka_2020!$AB$7</c:f>
              <c:strCache>
                <c:ptCount val="1"/>
                <c:pt idx="0">
                  <c:v>Prognoza liczby mieszkańców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(Charakterystyka_2020!$C$10:$K$10,Charakterystyka_2020!$L$9,Charakterystyka_2020!$AD$9:$AI$9)</c:f>
              <c:numCache>
                <c:formatCode>General</c:formatCode>
                <c:ptCount val="16"/>
                <c:pt idx="9">
                  <c:v>10719</c:v>
                </c:pt>
                <c:pt idx="10" formatCode="#,##0">
                  <c:v>10698</c:v>
                </c:pt>
                <c:pt idx="11" formatCode="#,##0">
                  <c:v>10677</c:v>
                </c:pt>
                <c:pt idx="12" formatCode="#,##0">
                  <c:v>10656</c:v>
                </c:pt>
                <c:pt idx="13" formatCode="#,##0">
                  <c:v>10635</c:v>
                </c:pt>
                <c:pt idx="14" formatCode="#,##0">
                  <c:v>10614</c:v>
                </c:pt>
                <c:pt idx="15" formatCode="#,##0">
                  <c:v>10593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0CC-4521-BD6B-DD344DA25F08}"/>
            </c:ext>
          </c:extLst>
        </c:ser>
        <c:ser>
          <c:idx val="0"/>
          <c:order val="1"/>
          <c:tx>
            <c:strRef>
              <c:f>Charakterystyka_2020!$B$7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Charakterystyka_2020!$C$9:$L$9</c:f>
              <c:numCache>
                <c:formatCode>General</c:formatCode>
                <c:ptCount val="10"/>
                <c:pt idx="0" formatCode="#,##0">
                  <c:v>10869</c:v>
                </c:pt>
                <c:pt idx="1">
                  <c:v>10907</c:v>
                </c:pt>
                <c:pt idx="2">
                  <c:v>10863</c:v>
                </c:pt>
                <c:pt idx="3">
                  <c:v>10874</c:v>
                </c:pt>
                <c:pt idx="4">
                  <c:v>10846</c:v>
                </c:pt>
                <c:pt idx="5">
                  <c:v>10944</c:v>
                </c:pt>
                <c:pt idx="6">
                  <c:v>10880</c:v>
                </c:pt>
                <c:pt idx="7">
                  <c:v>10791</c:v>
                </c:pt>
                <c:pt idx="8">
                  <c:v>10791</c:v>
                </c:pt>
                <c:pt idx="9">
                  <c:v>10719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0CC-4521-BD6B-DD344DA25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66656"/>
        <c:axId val="169368192"/>
      </c:lineChart>
      <c:catAx>
        <c:axId val="1693666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368192"/>
        <c:crosses val="autoZero"/>
        <c:auto val="1"/>
        <c:lblAlgn val="ctr"/>
        <c:lblOffset val="100"/>
        <c:tickLblSkip val="1"/>
        <c:noMultiLvlLbl val="0"/>
      </c:catAx>
      <c:valAx>
        <c:axId val="169368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36665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Charakterystyka_2020!$B$26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Charakterystyka_2020!$L$27:$P$27</c:f>
              <c:numCache>
                <c:formatCode>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Charakterystyka_2020!$L$28:$P$28</c:f>
              <c:numCache>
                <c:formatCode>General</c:formatCode>
                <c:ptCount val="5"/>
                <c:pt idx="0">
                  <c:v>5115</c:v>
                </c:pt>
                <c:pt idx="1">
                  <c:v>5162</c:v>
                </c:pt>
                <c:pt idx="2">
                  <c:v>5227</c:v>
                </c:pt>
                <c:pt idx="3">
                  <c:v>5330</c:v>
                </c:pt>
                <c:pt idx="4">
                  <c:v>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1-41B1-997D-F474DCE04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80864"/>
        <c:axId val="169403136"/>
      </c:barChart>
      <c:catAx>
        <c:axId val="1693808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403136"/>
        <c:crosses val="autoZero"/>
        <c:auto val="1"/>
        <c:lblAlgn val="ctr"/>
        <c:lblOffset val="100"/>
        <c:noMultiLvlLbl val="0"/>
      </c:catAx>
      <c:valAx>
        <c:axId val="169403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380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Charakterystyka_2020!$AB$26</c:f>
              <c:strCache>
                <c:ptCount val="1"/>
                <c:pt idx="0">
                  <c:v>Prognoza liczby mieszkań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(Charakterystyka_2020!$C$29:$K$29,Charakterystyka_2020!$L$28,Charakterystyka_2020!$AD$28:$AI$28)</c:f>
              <c:numCache>
                <c:formatCode>General</c:formatCode>
                <c:ptCount val="16"/>
                <c:pt idx="9">
                  <c:v>5115</c:v>
                </c:pt>
                <c:pt idx="10" formatCode="#,##0">
                  <c:v>5178</c:v>
                </c:pt>
                <c:pt idx="11" formatCode="#,##0">
                  <c:v>5241</c:v>
                </c:pt>
                <c:pt idx="12" formatCode="#,##0">
                  <c:v>5305</c:v>
                </c:pt>
                <c:pt idx="13" formatCode="#,##0">
                  <c:v>5370</c:v>
                </c:pt>
                <c:pt idx="14" formatCode="#,##0">
                  <c:v>5436</c:v>
                </c:pt>
                <c:pt idx="15" formatCode="#,##0">
                  <c:v>5503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79B-4C90-A871-05FEA485A0C6}"/>
            </c:ext>
          </c:extLst>
        </c:ser>
        <c:ser>
          <c:idx val="0"/>
          <c:order val="1"/>
          <c:tx>
            <c:strRef>
              <c:f>Charakterystyka_2020!$B$26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Charakterystyka_2020!$C$28:$L$28</c:f>
              <c:numCache>
                <c:formatCode>General</c:formatCode>
                <c:ptCount val="10"/>
                <c:pt idx="0">
                  <c:v>4696</c:v>
                </c:pt>
                <c:pt idx="1">
                  <c:v>4765</c:v>
                </c:pt>
                <c:pt idx="2">
                  <c:v>4773</c:v>
                </c:pt>
                <c:pt idx="3">
                  <c:v>4883</c:v>
                </c:pt>
                <c:pt idx="4">
                  <c:v>4932</c:v>
                </c:pt>
                <c:pt idx="5">
                  <c:v>4967</c:v>
                </c:pt>
                <c:pt idx="6">
                  <c:v>5016</c:v>
                </c:pt>
                <c:pt idx="7">
                  <c:v>5034</c:v>
                </c:pt>
                <c:pt idx="8">
                  <c:v>5112</c:v>
                </c:pt>
                <c:pt idx="9">
                  <c:v>5115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79B-4C90-A871-05FEA485A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33344"/>
        <c:axId val="169443328"/>
      </c:lineChart>
      <c:catAx>
        <c:axId val="1694333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69443328"/>
        <c:crosses val="autoZero"/>
        <c:auto val="1"/>
        <c:lblAlgn val="ctr"/>
        <c:lblOffset val="100"/>
        <c:tickLblSkip val="2"/>
        <c:noMultiLvlLbl val="0"/>
      </c:catAx>
      <c:valAx>
        <c:axId val="169443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4333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Prognoza powierzchni mieszkań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Charakterystyka_2020!$AB$65</c:f>
              <c:strCache>
                <c:ptCount val="1"/>
                <c:pt idx="0">
                  <c:v>Prognoza ogólnej powierzchni mieszkań [m2]</c:v>
                </c:pt>
              </c:strCache>
            </c:strRef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(Charakterystyka_2020!$C$68:$K$68,Charakterystyka_2020!$L$67,Charakterystyka_2020!$AD$67:$AI$67)</c:f>
              <c:numCache>
                <c:formatCode>General</c:formatCode>
                <c:ptCount val="16"/>
                <c:pt idx="9">
                  <c:v>372656</c:v>
                </c:pt>
                <c:pt idx="10" formatCode="#,##0">
                  <c:v>377112</c:v>
                </c:pt>
                <c:pt idx="11" formatCode="#,##0">
                  <c:v>381621</c:v>
                </c:pt>
                <c:pt idx="12" formatCode="#,##0">
                  <c:v>386184</c:v>
                </c:pt>
                <c:pt idx="13" formatCode="#,##0">
                  <c:v>390802</c:v>
                </c:pt>
                <c:pt idx="14" formatCode="#,##0">
                  <c:v>395475</c:v>
                </c:pt>
                <c:pt idx="15" formatCode="#,##0">
                  <c:v>400204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8F3-45BE-943F-1CAB823E95AF}"/>
            </c:ext>
          </c:extLst>
        </c:ser>
        <c:ser>
          <c:idx val="0"/>
          <c:order val="1"/>
          <c:tx>
            <c:strRef>
              <c:f>Charakterystyka_2020!$B$65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Charakterystyka_2020!$C$5:$R$5</c:f>
              <c:numCache>
                <c:formatCode>0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Charakterystyka_2020!$C$67:$L$67</c:f>
              <c:numCache>
                <c:formatCode>General</c:formatCode>
                <c:ptCount val="10"/>
                <c:pt idx="0">
                  <c:v>333934</c:v>
                </c:pt>
                <c:pt idx="1">
                  <c:v>338056</c:v>
                </c:pt>
                <c:pt idx="2">
                  <c:v>339240</c:v>
                </c:pt>
                <c:pt idx="3">
                  <c:v>344820</c:v>
                </c:pt>
                <c:pt idx="4">
                  <c:v>352841</c:v>
                </c:pt>
                <c:pt idx="5">
                  <c:v>360198</c:v>
                </c:pt>
                <c:pt idx="6">
                  <c:v>363498</c:v>
                </c:pt>
                <c:pt idx="7">
                  <c:v>365890</c:v>
                </c:pt>
                <c:pt idx="8">
                  <c:v>371679</c:v>
                </c:pt>
                <c:pt idx="9">
                  <c:v>372656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8F3-45BE-943F-1CAB823E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59072"/>
        <c:axId val="169747968"/>
      </c:lineChart>
      <c:catAx>
        <c:axId val="169459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9747968"/>
        <c:crosses val="autoZero"/>
        <c:auto val="1"/>
        <c:lblAlgn val="ctr"/>
        <c:lblOffset val="100"/>
        <c:tickLblSkip val="2"/>
        <c:noMultiLvlLbl val="0"/>
      </c:catAx>
      <c:valAx>
        <c:axId val="169747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9459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85725</xdr:rowOff>
    </xdr:from>
    <xdr:to>
      <xdr:col>17</xdr:col>
      <xdr:colOff>470057</xdr:colOff>
      <xdr:row>24</xdr:row>
      <xdr:rowOff>225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17</xdr:col>
      <xdr:colOff>479583</xdr:colOff>
      <xdr:row>63</xdr:row>
      <xdr:rowOff>105000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17</xdr:col>
      <xdr:colOff>479583</xdr:colOff>
      <xdr:row>82</xdr:row>
      <xdr:rowOff>105000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114300</xdr:rowOff>
    </xdr:from>
    <xdr:to>
      <xdr:col>17</xdr:col>
      <xdr:colOff>479583</xdr:colOff>
      <xdr:row>101</xdr:row>
      <xdr:rowOff>28800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17</xdr:col>
      <xdr:colOff>479583</xdr:colOff>
      <xdr:row>120</xdr:row>
      <xdr:rowOff>105000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111502</xdr:colOff>
      <xdr:row>9</xdr:row>
      <xdr:rowOff>99785</xdr:rowOff>
    </xdr:from>
    <xdr:to>
      <xdr:col>35</xdr:col>
      <xdr:colOff>432335</xdr:colOff>
      <xdr:row>24</xdr:row>
      <xdr:rowOff>14285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17</xdr:col>
      <xdr:colOff>479583</xdr:colOff>
      <xdr:row>43</xdr:row>
      <xdr:rowOff>105000</xdr:rowOff>
    </xdr:to>
    <xdr:graphicFrame macro="">
      <xdr:nvGraphicFramePr>
        <xdr:cNvPr id="21" name="Wykres 20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168653</xdr:colOff>
      <xdr:row>29</xdr:row>
      <xdr:rowOff>37872</xdr:rowOff>
    </xdr:from>
    <xdr:to>
      <xdr:col>35</xdr:col>
      <xdr:colOff>489486</xdr:colOff>
      <xdr:row>43</xdr:row>
      <xdr:rowOff>142872</xdr:rowOff>
    </xdr:to>
    <xdr:graphicFrame macro="">
      <xdr:nvGraphicFramePr>
        <xdr:cNvPr id="22" name="Wykres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404813</xdr:colOff>
      <xdr:row>67</xdr:row>
      <xdr:rowOff>130969</xdr:rowOff>
    </xdr:from>
    <xdr:to>
      <xdr:col>35</xdr:col>
      <xdr:colOff>189865</xdr:colOff>
      <xdr:row>82</xdr:row>
      <xdr:rowOff>57375</xdr:rowOff>
    </xdr:to>
    <xdr:graphicFrame macro="">
      <xdr:nvGraphicFramePr>
        <xdr:cNvPr id="23" name="Wykres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106</xdr:row>
      <xdr:rowOff>0</xdr:rowOff>
    </xdr:from>
    <xdr:to>
      <xdr:col>35</xdr:col>
      <xdr:colOff>320833</xdr:colOff>
      <xdr:row>120</xdr:row>
      <xdr:rowOff>105000</xdr:rowOff>
    </xdr:to>
    <xdr:graphicFrame macro="">
      <xdr:nvGraphicFramePr>
        <xdr:cNvPr id="25" name="Wykres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87</xdr:row>
      <xdr:rowOff>0</xdr:rowOff>
    </xdr:from>
    <xdr:to>
      <xdr:col>35</xdr:col>
      <xdr:colOff>207724</xdr:colOff>
      <xdr:row>101</xdr:row>
      <xdr:rowOff>146672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16</xdr:row>
      <xdr:rowOff>271991</xdr:rowOff>
    </xdr:from>
    <xdr:to>
      <xdr:col>2</xdr:col>
      <xdr:colOff>1312334</xdr:colOff>
      <xdr:row>19</xdr:row>
      <xdr:rowOff>169333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CA42761B-D4CB-4DFB-B83B-6C218085CC75}"/>
            </a:ext>
          </a:extLst>
        </xdr:cNvPr>
        <xdr:cNvSpPr txBox="1"/>
      </xdr:nvSpPr>
      <xdr:spPr>
        <a:xfrm>
          <a:off x="232834" y="4758266"/>
          <a:ext cx="3679825" cy="1030817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ciepła sieciowgo została przeprowadzona w oparciu o </a:t>
          </a:r>
          <a:r>
            <a:rPr lang="pl-PL" sz="1100" b="1"/>
            <a:t>prognozwaną liczbę mieszkańców do roku 2024</a:t>
          </a:r>
          <a:endParaRPr lang="pl-PL" sz="1100" baseline="0"/>
        </a:p>
        <a:p>
          <a:endParaRPr lang="pl-PL" sz="900" i="1" baseline="0"/>
        </a:p>
      </xdr:txBody>
    </xdr:sp>
    <xdr:clientData/>
  </xdr:twoCellAnchor>
  <xdr:twoCellAnchor>
    <xdr:from>
      <xdr:col>0</xdr:col>
      <xdr:colOff>84666</xdr:colOff>
      <xdr:row>29</xdr:row>
      <xdr:rowOff>189442</xdr:rowOff>
    </xdr:from>
    <xdr:to>
      <xdr:col>4</xdr:col>
      <xdr:colOff>1428749</xdr:colOff>
      <xdr:row>49</xdr:row>
      <xdr:rowOff>10584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A818382C-086D-4445-879F-DDFBB426A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212912</xdr:colOff>
      <xdr:row>1</xdr:row>
      <xdr:rowOff>67234</xdr:rowOff>
    </xdr:from>
    <xdr:to>
      <xdr:col>15</xdr:col>
      <xdr:colOff>571500</xdr:colOff>
      <xdr:row>6</xdr:row>
      <xdr:rowOff>22412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CC6E722D-2992-483A-86E3-5C0C98EC4B0C}"/>
            </a:ext>
          </a:extLst>
        </xdr:cNvPr>
        <xdr:cNvSpPr txBox="1"/>
      </xdr:nvSpPr>
      <xdr:spPr>
        <a:xfrm>
          <a:off x="10645588" y="257734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212912</xdr:colOff>
      <xdr:row>1</xdr:row>
      <xdr:rowOff>67234</xdr:rowOff>
    </xdr:from>
    <xdr:to>
      <xdr:col>15</xdr:col>
      <xdr:colOff>571500</xdr:colOff>
      <xdr:row>6</xdr:row>
      <xdr:rowOff>22412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B7925C26-1DE5-4B94-8119-25B9794AC268}"/>
            </a:ext>
          </a:extLst>
        </xdr:cNvPr>
        <xdr:cNvSpPr txBox="1"/>
      </xdr:nvSpPr>
      <xdr:spPr>
        <a:xfrm>
          <a:off x="10452287" y="257734"/>
          <a:ext cx="2015938" cy="120295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FC51F8F6-B2D6-426C-B9C4-5666750396E3}"/>
            </a:ext>
          </a:extLst>
        </xdr:cNvPr>
        <xdr:cNvSpPr txBox="1"/>
      </xdr:nvSpPr>
      <xdr:spPr>
        <a:xfrm>
          <a:off x="10795000" y="190500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CD04E12-51C9-408D-9385-F5A3A0141D55}"/>
            </a:ext>
          </a:extLst>
        </xdr:cNvPr>
        <xdr:cNvSpPr txBox="1"/>
      </xdr:nvSpPr>
      <xdr:spPr>
        <a:xfrm>
          <a:off x="10829925" y="190500"/>
          <a:ext cx="2023409" cy="119797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1798C84F-F55C-4AD9-A613-05D179CC10EE}"/>
            </a:ext>
          </a:extLst>
        </xdr:cNvPr>
        <xdr:cNvSpPr txBox="1"/>
      </xdr:nvSpPr>
      <xdr:spPr>
        <a:xfrm>
          <a:off x="11017250" y="190500"/>
          <a:ext cx="2017059" cy="1199031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366059</xdr:colOff>
      <xdr:row>5</xdr:row>
      <xdr:rowOff>140698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D4E874EC-FC51-4670-8D34-5FC9F6BC3200}"/>
            </a:ext>
          </a:extLst>
        </xdr:cNvPr>
        <xdr:cNvSpPr txBox="1"/>
      </xdr:nvSpPr>
      <xdr:spPr>
        <a:xfrm>
          <a:off x="10591800" y="190500"/>
          <a:ext cx="2023409" cy="119797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Centralna Ewidencja</a:t>
          </a:r>
          <a:r>
            <a:rPr lang="pl-PL" sz="1000" b="0" i="1" baseline="0"/>
            <a:t> Pojazdów i Kierowców, Ministerstwo Spraw Wewnętrznych i Administracji, Warszawa</a:t>
          </a:r>
        </a:p>
        <a:p>
          <a:pPr algn="l"/>
          <a:endParaRPr lang="pl-PL" sz="900" i="1" baseline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</xdr:rowOff>
    </xdr:from>
    <xdr:to>
      <xdr:col>13</xdr:col>
      <xdr:colOff>254934</xdr:colOff>
      <xdr:row>9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1BAE9251-90A7-4628-B9D9-4BD181ECE8AB}"/>
            </a:ext>
          </a:extLst>
        </xdr:cNvPr>
        <xdr:cNvSpPr txBox="1"/>
      </xdr:nvSpPr>
      <xdr:spPr>
        <a:xfrm>
          <a:off x="9801225" y="1581151"/>
          <a:ext cx="2017059" cy="7048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Dane z Urzędu Miasta Ciechocinka</a:t>
          </a:r>
          <a:endParaRPr lang="pl-PL" sz="1000" b="0" i="1" baseline="0"/>
        </a:p>
        <a:p>
          <a:pPr algn="l"/>
          <a:endParaRPr lang="pl-PL" sz="900" i="1" baseline="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1</xdr:rowOff>
    </xdr:from>
    <xdr:to>
      <xdr:col>13</xdr:col>
      <xdr:colOff>254934</xdr:colOff>
      <xdr:row>9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4E00F18B-7B8D-4CAD-B655-5E19954097B3}"/>
            </a:ext>
          </a:extLst>
        </xdr:cNvPr>
        <xdr:cNvSpPr txBox="1"/>
      </xdr:nvSpPr>
      <xdr:spPr>
        <a:xfrm>
          <a:off x="8848725" y="1581151"/>
          <a:ext cx="2017059" cy="7048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u="sng" baseline="0"/>
            <a:t>Źródło:</a:t>
          </a:r>
        </a:p>
        <a:p>
          <a:endParaRPr lang="pl-PL" sz="1000" i="1" u="sng"/>
        </a:p>
        <a:p>
          <a:pPr algn="l"/>
          <a:r>
            <a:rPr lang="pl-PL" sz="1000" b="0" i="1"/>
            <a:t>Dane z Urzędu Miasta Ciechocinka</a:t>
          </a:r>
          <a:endParaRPr lang="pl-PL" sz="1000" b="0" i="1" baseline="0"/>
        </a:p>
        <a:p>
          <a:pPr algn="l"/>
          <a:endParaRPr lang="pl-PL" sz="900" i="1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85725</xdr:rowOff>
    </xdr:from>
    <xdr:to>
      <xdr:col>17</xdr:col>
      <xdr:colOff>470057</xdr:colOff>
      <xdr:row>24</xdr:row>
      <xdr:rowOff>225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2E8291FA-ED84-4E69-90F4-DF1DFFEC1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17</xdr:col>
      <xdr:colOff>479583</xdr:colOff>
      <xdr:row>63</xdr:row>
      <xdr:rowOff>105000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43048B3B-1DC7-461D-99F8-08E056D6C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17</xdr:col>
      <xdr:colOff>479583</xdr:colOff>
      <xdr:row>82</xdr:row>
      <xdr:rowOff>105000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123B846E-2A00-40AF-8B18-BCEBECBAF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114300</xdr:rowOff>
    </xdr:from>
    <xdr:to>
      <xdr:col>17</xdr:col>
      <xdr:colOff>479583</xdr:colOff>
      <xdr:row>101</xdr:row>
      <xdr:rowOff>28800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949D456A-7913-4C3A-9BF1-9EB955C09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17</xdr:col>
      <xdr:colOff>479583</xdr:colOff>
      <xdr:row>120</xdr:row>
      <xdr:rowOff>105000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xmlns="" id="{A73E1517-2A37-439A-A128-6340C621B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111502</xdr:colOff>
      <xdr:row>9</xdr:row>
      <xdr:rowOff>99785</xdr:rowOff>
    </xdr:from>
    <xdr:to>
      <xdr:col>35</xdr:col>
      <xdr:colOff>432335</xdr:colOff>
      <xdr:row>24</xdr:row>
      <xdr:rowOff>14285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777E2C26-2C59-404E-A044-0FF89A78C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17</xdr:col>
      <xdr:colOff>479583</xdr:colOff>
      <xdr:row>43</xdr:row>
      <xdr:rowOff>105000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E2334C18-90AD-470E-BB7B-F13CEB9D9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168653</xdr:colOff>
      <xdr:row>29</xdr:row>
      <xdr:rowOff>37872</xdr:rowOff>
    </xdr:from>
    <xdr:to>
      <xdr:col>35</xdr:col>
      <xdr:colOff>489486</xdr:colOff>
      <xdr:row>43</xdr:row>
      <xdr:rowOff>142872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xmlns="" id="{58BC5699-75DF-48FB-8FD3-355F2D8AC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404813</xdr:colOff>
      <xdr:row>67</xdr:row>
      <xdr:rowOff>130969</xdr:rowOff>
    </xdr:from>
    <xdr:to>
      <xdr:col>35</xdr:col>
      <xdr:colOff>189865</xdr:colOff>
      <xdr:row>82</xdr:row>
      <xdr:rowOff>57375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xmlns="" id="{2DB31D51-DB04-48B8-A58B-280A5F168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106</xdr:row>
      <xdr:rowOff>0</xdr:rowOff>
    </xdr:from>
    <xdr:to>
      <xdr:col>35</xdr:col>
      <xdr:colOff>320833</xdr:colOff>
      <xdr:row>120</xdr:row>
      <xdr:rowOff>105000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xmlns="" id="{392BDFCE-6028-41D7-B10D-5D000B8F6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87</xdr:row>
      <xdr:rowOff>0</xdr:rowOff>
    </xdr:from>
    <xdr:to>
      <xdr:col>35</xdr:col>
      <xdr:colOff>207724</xdr:colOff>
      <xdr:row>101</xdr:row>
      <xdr:rowOff>146672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xmlns="" id="{645F03FE-7A05-4705-ACD2-653BB3FE6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10</xdr:col>
      <xdr:colOff>1206499</xdr:colOff>
      <xdr:row>9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6519334" y="624417"/>
          <a:ext cx="3926415" cy="1439333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energii  została przeprowadzona w oparciu o </a:t>
          </a:r>
          <a:r>
            <a:rPr lang="pl-PL" sz="1100" b="1"/>
            <a:t>prognozowaną </a:t>
          </a:r>
          <a:r>
            <a:rPr lang="pl-PL" sz="1100" b="0" baseline="0"/>
            <a:t>liczbę mieszkańców w roku 2020.</a:t>
          </a:r>
          <a:endParaRPr lang="pl-PL" sz="1100" baseline="0"/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Energa operator, ul. Marynarki Polskiej 130, 80 - 557 Gdańsk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10</xdr:col>
      <xdr:colOff>1206499</xdr:colOff>
      <xdr:row>9</xdr:row>
      <xdr:rowOff>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6841439-EF81-4135-85A8-D92A9A001A6B}"/>
            </a:ext>
          </a:extLst>
        </xdr:cNvPr>
        <xdr:cNvSpPr txBox="1"/>
      </xdr:nvSpPr>
      <xdr:spPr>
        <a:xfrm>
          <a:off x="6515101" y="628650"/>
          <a:ext cx="3921123" cy="142875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energii  została przeprowadzona w oparciu o </a:t>
          </a:r>
          <a:r>
            <a:rPr lang="pl-PL" sz="1100" b="1"/>
            <a:t>prognozowaną </a:t>
          </a:r>
          <a:r>
            <a:rPr lang="pl-PL" sz="1100" b="0" baseline="0"/>
            <a:t>liczbę mieszkańców w roku 2024.</a:t>
          </a:r>
          <a:endParaRPr lang="pl-PL" sz="1100" baseline="0"/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Energa operator, ul. Marynarki Polskiej 130, 80 - 557 Gdańsk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1</xdr:rowOff>
    </xdr:from>
    <xdr:to>
      <xdr:col>11</xdr:col>
      <xdr:colOff>1295399</xdr:colOff>
      <xdr:row>7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6038850" y="628651"/>
          <a:ext cx="3895724" cy="110490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gazu została przeprowadzona w oparciu o </a:t>
          </a:r>
          <a:r>
            <a:rPr lang="pl-PL" sz="1100" b="1"/>
            <a:t>prognozwaną liczbę mieszkańców do roku 2020</a:t>
          </a:r>
          <a:endParaRPr lang="pl-PL" sz="1100" baseline="0"/>
        </a:p>
        <a:p>
          <a:endParaRPr lang="pl-PL" sz="900" i="1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6038</xdr:colOff>
      <xdr:row>20</xdr:row>
      <xdr:rowOff>1500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76200</xdr:colOff>
      <xdr:row>2</xdr:row>
      <xdr:rowOff>180975</xdr:rowOff>
    </xdr:from>
    <xdr:to>
      <xdr:col>11</xdr:col>
      <xdr:colOff>968063</xdr:colOff>
      <xdr:row>19</xdr:row>
      <xdr:rowOff>182475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</xdr:row>
      <xdr:rowOff>1</xdr:rowOff>
    </xdr:from>
    <xdr:to>
      <xdr:col>11</xdr:col>
      <xdr:colOff>1295399</xdr:colOff>
      <xdr:row>7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2F1AD41D-5F5A-4692-B621-80FCC8E1A5BA}"/>
            </a:ext>
          </a:extLst>
        </xdr:cNvPr>
        <xdr:cNvSpPr txBox="1"/>
      </xdr:nvSpPr>
      <xdr:spPr>
        <a:xfrm>
          <a:off x="7686675" y="628651"/>
          <a:ext cx="3895724" cy="1104900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gazu została przeprowadzona w oparciu o </a:t>
          </a:r>
          <a:r>
            <a:rPr lang="pl-PL" sz="1100" b="1"/>
            <a:t>prognozwaną liczbę mieszkańców do roku 2024</a:t>
          </a:r>
          <a:endParaRPr lang="pl-PL" sz="1100" baseline="0"/>
        </a:p>
        <a:p>
          <a:endParaRPr lang="pl-PL" sz="900" i="1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994833</xdr:colOff>
      <xdr:row>14</xdr:row>
      <xdr:rowOff>162984</xdr:rowOff>
    </xdr:from>
    <xdr:to>
      <xdr:col>7</xdr:col>
      <xdr:colOff>1386416</xdr:colOff>
      <xdr:row>30</xdr:row>
      <xdr:rowOff>130968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3CA2ADF4-DEAC-492B-B1FA-13BBE8390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357187</xdr:colOff>
      <xdr:row>35</xdr:row>
      <xdr:rowOff>107156</xdr:rowOff>
    </xdr:from>
    <xdr:to>
      <xdr:col>13</xdr:col>
      <xdr:colOff>178593</xdr:colOff>
      <xdr:row>58</xdr:row>
      <xdr:rowOff>190499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34C6C368-ADA3-4B10-8BC2-4B4B40310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42334</xdr:colOff>
      <xdr:row>16</xdr:row>
      <xdr:rowOff>271991</xdr:rowOff>
    </xdr:from>
    <xdr:to>
      <xdr:col>2</xdr:col>
      <xdr:colOff>1312334</xdr:colOff>
      <xdr:row>19</xdr:row>
      <xdr:rowOff>169333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232834" y="4568824"/>
          <a:ext cx="3683000" cy="104034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ciepła sieciowgo została przeprowadzona w oparciu o </a:t>
          </a:r>
          <a:r>
            <a:rPr lang="pl-PL" sz="1100" b="1"/>
            <a:t>prognozwaną liczbę mieszkańców do roku 2020</a:t>
          </a:r>
          <a:endParaRPr lang="pl-PL" sz="1100" baseline="0"/>
        </a:p>
        <a:p>
          <a:endParaRPr lang="pl-PL" sz="900" i="1" baseline="0"/>
        </a:p>
      </xdr:txBody>
    </xdr:sp>
    <xdr:clientData/>
  </xdr:twoCellAnchor>
  <xdr:twoCellAnchor>
    <xdr:from>
      <xdr:col>0</xdr:col>
      <xdr:colOff>84666</xdr:colOff>
      <xdr:row>29</xdr:row>
      <xdr:rowOff>189442</xdr:rowOff>
    </xdr:from>
    <xdr:to>
      <xdr:col>4</xdr:col>
      <xdr:colOff>1428749</xdr:colOff>
      <xdr:row>49</xdr:row>
      <xdr:rowOff>10584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80EA468F-E132-4EF3-9FC9-ED84B027D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in\Desktop\PGN\Ustrzyki%20Dolne\Za&#322;&#261;cznik%20I%20-%20Baza%20emisji%20CO2%20Ustrzyki%20Dol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ata\Desktop\Ciechocinek\Inwentaryzacja_PGN%20Ciechocinek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Wskaźniki"/>
      <sheetName val="Charakterystyka"/>
      <sheetName val="En. elektryczna"/>
      <sheetName val="En. elektryczna wykr."/>
      <sheetName val="Gaz"/>
      <sheetName val="Gaz wykr."/>
      <sheetName val="Kilometraż"/>
      <sheetName val="Ruch lokalny"/>
      <sheetName val="Pomiar Ruchu"/>
      <sheetName val="Tranzyt"/>
      <sheetName val="Transport wykr."/>
      <sheetName val="Ciepło"/>
      <sheetName val="Ciepło wykr."/>
      <sheetName val="Obiekty publiczne"/>
      <sheetName val="Przedsiębiorstwa"/>
      <sheetName val="Oświetlenie"/>
      <sheetName val="Bilans"/>
    </sheetNames>
    <sheetDataSet>
      <sheetData sheetId="0"/>
      <sheetData sheetId="1"/>
      <sheetData sheetId="2">
        <row r="5">
          <cell r="C5">
            <v>2000</v>
          </cell>
          <cell r="D5">
            <v>2001</v>
          </cell>
          <cell r="E5">
            <v>2002</v>
          </cell>
          <cell r="F5">
            <v>2003</v>
          </cell>
          <cell r="G5">
            <v>2004</v>
          </cell>
          <cell r="H5">
            <v>2005</v>
          </cell>
          <cell r="I5">
            <v>2006</v>
          </cell>
          <cell r="J5">
            <v>2007</v>
          </cell>
          <cell r="K5">
            <v>2008</v>
          </cell>
          <cell r="L5">
            <v>2009</v>
          </cell>
          <cell r="M5">
            <v>2010</v>
          </cell>
          <cell r="N5">
            <v>2011</v>
          </cell>
          <cell r="O5">
            <v>2012</v>
          </cell>
          <cell r="P5">
            <v>2013</v>
          </cell>
          <cell r="Q5">
            <v>2014</v>
          </cell>
          <cell r="R5">
            <v>2015</v>
          </cell>
          <cell r="S5">
            <v>2016</v>
          </cell>
          <cell r="T5">
            <v>2017</v>
          </cell>
          <cell r="U5">
            <v>2018</v>
          </cell>
          <cell r="V5">
            <v>2019</v>
          </cell>
          <cell r="W5">
            <v>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Wskaźniki"/>
      <sheetName val="Charakterystyka_2020"/>
      <sheetName val="Charakterystyka_2024"/>
      <sheetName val="En. elektryczna_2020"/>
      <sheetName val="En. elektryczna_2024"/>
      <sheetName val="Gaz_2020"/>
      <sheetName val="Gaz wykr."/>
      <sheetName val="Gaz_2024"/>
      <sheetName val="Ciepło sieciowe_2020"/>
      <sheetName val="Ciepło sieciowe_2024"/>
      <sheetName val="Ciepło założenia"/>
      <sheetName val="Ciepło_gosp. dom._2020"/>
      <sheetName val="Ciepło_gosp. dom._2024"/>
      <sheetName val="Ankietyzacja mieszkanców"/>
      <sheetName val="Budynki komunalne"/>
      <sheetName val="Budynku niekomunalne"/>
      <sheetName val="Oświetlenie komunalne_2020"/>
      <sheetName val="Oświetlenie komunalne_2024"/>
      <sheetName val="Transport prywatny_2020"/>
      <sheetName val="Transport prywatny_2024"/>
      <sheetName val="Transport komercyjny_2020"/>
      <sheetName val="Transport komercyjny_2024"/>
      <sheetName val="Transport kom. autobusy_2020"/>
      <sheetName val="Transport kom. autobusy_2024"/>
      <sheetName val="Tabor gminny_2020"/>
      <sheetName val="Tabor gminny_2024"/>
      <sheetName val="Podsumowanie transport_2020"/>
      <sheetName val="Podsumowanie transport_2024"/>
      <sheetName val="Końcowe zuż. energii_2020"/>
      <sheetName val="Emisja CO2_2020"/>
      <sheetName val="Końcowe zuż. energii_2024"/>
      <sheetName val="Emisja CO2_2024"/>
      <sheetName val="Działania_2020"/>
      <sheetName val="Działania_zrealizowane_do_2020"/>
      <sheetName val="Działania_zrealizowane "/>
      <sheetName val="Działania_2024"/>
      <sheetName val="Działania_do realizacji"/>
      <sheetName val="Planowane rezultaty"/>
      <sheetName val="Działanie P&amp;R"/>
      <sheetName val="Ścieżki rowerowe"/>
    </sheetNames>
    <sheetDataSet>
      <sheetData sheetId="0" refreshError="1"/>
      <sheetData sheetId="1">
        <row r="8">
          <cell r="C8">
            <v>9.4729999999999995E-2</v>
          </cell>
        </row>
      </sheetData>
      <sheetData sheetId="2" refreshError="1"/>
      <sheetData sheetId="3">
        <row r="86">
          <cell r="L86">
            <v>72.855522971652007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6">
          <cell r="C16">
            <v>0.6796244094049243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CDE">
  <a:themeElements>
    <a:clrScheme name="CDE">
      <a:dk1>
        <a:sysClr val="windowText" lastClr="000000"/>
      </a:dk1>
      <a:lt1>
        <a:sysClr val="window" lastClr="FFFFFF"/>
      </a:lt1>
      <a:dk2>
        <a:srgbClr val="787878"/>
      </a:dk2>
      <a:lt2>
        <a:srgbClr val="F2F2F2"/>
      </a:lt2>
      <a:accent1>
        <a:srgbClr val="709AD1"/>
      </a:accent1>
      <a:accent2>
        <a:srgbClr val="81C210"/>
      </a:accent2>
      <a:accent3>
        <a:srgbClr val="9BBB59"/>
      </a:accent3>
      <a:accent4>
        <a:srgbClr val="50A000"/>
      </a:accent4>
      <a:accent5>
        <a:srgbClr val="FF7E00"/>
      </a:accent5>
      <a:accent6>
        <a:srgbClr val="9FD3EC"/>
      </a:accent6>
      <a:hlink>
        <a:srgbClr val="EB640F"/>
      </a:hlink>
      <a:folHlink>
        <a:srgbClr val="F7AE81"/>
      </a:folHlink>
    </a:clrScheme>
    <a:fontScheme name="CD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Hol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C5"/>
  <sheetViews>
    <sheetView view="pageBreakPreview" zoomScale="90" zoomScaleNormal="70" zoomScaleSheetLayoutView="90" workbookViewId="0">
      <selection activeCell="C5" sqref="C5"/>
    </sheetView>
  </sheetViews>
  <sheetFormatPr defaultRowHeight="15"/>
  <cols>
    <col min="1" max="1" width="2.5" style="6" customWidth="1"/>
    <col min="2" max="2" width="30.625" style="6" customWidth="1"/>
    <col min="3" max="3" width="72.5" style="86" customWidth="1"/>
    <col min="4" max="16384" width="9" style="6"/>
  </cols>
  <sheetData>
    <row r="1" spans="2:3" ht="15" customHeight="1" thickBot="1"/>
    <row r="2" spans="2:3" ht="21.75" thickBot="1">
      <c r="B2" s="37" t="s">
        <v>206</v>
      </c>
      <c r="C2" s="87"/>
    </row>
    <row r="3" spans="2:3" ht="15.75" thickBot="1">
      <c r="B3" s="7"/>
      <c r="C3" s="88"/>
    </row>
    <row r="4" spans="2:3">
      <c r="B4" s="1" t="s">
        <v>0</v>
      </c>
      <c r="C4" s="89" t="s">
        <v>71</v>
      </c>
    </row>
    <row r="5" spans="2:3" ht="45.75" thickBot="1">
      <c r="B5" s="2" t="s">
        <v>1</v>
      </c>
      <c r="C5" s="3" t="s">
        <v>205</v>
      </c>
    </row>
  </sheetData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G14"/>
  <sheetViews>
    <sheetView showGridLines="0" workbookViewId="0">
      <selection activeCell="B16" sqref="B16"/>
    </sheetView>
  </sheetViews>
  <sheetFormatPr defaultRowHeight="15"/>
  <cols>
    <col min="1" max="1" width="9" style="277"/>
    <col min="2" max="2" width="22.375" style="277" customWidth="1"/>
    <col min="3" max="3" width="15.75" style="277" customWidth="1"/>
    <col min="4" max="4" width="15.875" style="277" customWidth="1"/>
    <col min="5" max="5" width="18" style="277" customWidth="1"/>
    <col min="6" max="6" width="13.5" style="277" customWidth="1"/>
    <col min="7" max="7" width="12.125" style="277" customWidth="1"/>
    <col min="8" max="8" width="9" style="277"/>
    <col min="9" max="9" width="18.25" style="277" customWidth="1"/>
    <col min="10" max="16384" width="9" style="277"/>
  </cols>
  <sheetData>
    <row r="1" spans="2:7" ht="15.75" thickBot="1"/>
    <row r="2" spans="2:7" ht="15.75" customHeight="1" thickBot="1">
      <c r="B2" s="864" t="s">
        <v>374</v>
      </c>
      <c r="C2" s="865"/>
      <c r="D2" s="865"/>
      <c r="E2" s="865"/>
      <c r="F2" s="865"/>
      <c r="G2" s="866"/>
    </row>
    <row r="3" spans="2:7" ht="28.5" customHeight="1" thickBot="1">
      <c r="B3" s="863" t="s">
        <v>375</v>
      </c>
      <c r="C3" s="863"/>
      <c r="D3" s="863"/>
      <c r="E3" s="863"/>
    </row>
    <row r="4" spans="2:7" ht="45">
      <c r="B4" s="308">
        <v>2014</v>
      </c>
      <c r="C4" s="309" t="s">
        <v>372</v>
      </c>
      <c r="D4" s="309" t="s">
        <v>364</v>
      </c>
      <c r="E4" s="310" t="s">
        <v>373</v>
      </c>
      <c r="F4" s="309" t="s">
        <v>391</v>
      </c>
      <c r="G4" s="393" t="s">
        <v>392</v>
      </c>
    </row>
    <row r="5" spans="2:7">
      <c r="B5" s="311" t="s">
        <v>368</v>
      </c>
      <c r="C5" s="312">
        <v>0</v>
      </c>
      <c r="D5" s="312">
        <v>0</v>
      </c>
      <c r="E5" s="313">
        <v>0</v>
      </c>
      <c r="F5" s="312">
        <f>Wskaźniki!$C$13</f>
        <v>0.09</v>
      </c>
      <c r="G5" s="394">
        <f>D5*F5</f>
        <v>0</v>
      </c>
    </row>
    <row r="6" spans="2:7">
      <c r="B6" s="311" t="s">
        <v>369</v>
      </c>
      <c r="C6" s="312">
        <v>34</v>
      </c>
      <c r="D6" s="312">
        <v>28079</v>
      </c>
      <c r="E6" s="313">
        <v>71410</v>
      </c>
      <c r="F6" s="312">
        <f>Wskaźniki!$C$13</f>
        <v>0.09</v>
      </c>
      <c r="G6" s="394">
        <f t="shared" ref="G6:G8" si="0">D6*F6</f>
        <v>2527.11</v>
      </c>
    </row>
    <row r="7" spans="2:7">
      <c r="B7" s="311" t="s">
        <v>370</v>
      </c>
      <c r="C7" s="312">
        <v>3</v>
      </c>
      <c r="D7" s="312">
        <v>3040</v>
      </c>
      <c r="E7" s="313">
        <v>5445</v>
      </c>
      <c r="F7" s="312">
        <f>Wskaźniki!$C$13</f>
        <v>0.09</v>
      </c>
      <c r="G7" s="394">
        <f t="shared" si="0"/>
        <v>273.59999999999997</v>
      </c>
    </row>
    <row r="8" spans="2:7" ht="15.75" thickBot="1">
      <c r="B8" s="314" t="s">
        <v>371</v>
      </c>
      <c r="C8" s="315">
        <v>1</v>
      </c>
      <c r="D8" s="315">
        <v>350</v>
      </c>
      <c r="E8" s="316">
        <v>200</v>
      </c>
      <c r="F8" s="315">
        <f>Wskaźniki!$C$13</f>
        <v>0.09</v>
      </c>
      <c r="G8" s="395">
        <f t="shared" si="0"/>
        <v>31.5</v>
      </c>
    </row>
    <row r="9" spans="2:7" ht="15.75" thickBot="1"/>
    <row r="10" spans="2:7" ht="45">
      <c r="B10" s="308" t="s">
        <v>387</v>
      </c>
      <c r="C10" s="309" t="s">
        <v>372</v>
      </c>
      <c r="D10" s="309" t="s">
        <v>364</v>
      </c>
      <c r="E10" s="309" t="s">
        <v>373</v>
      </c>
      <c r="F10" s="309" t="s">
        <v>391</v>
      </c>
      <c r="G10" s="393" t="s">
        <v>392</v>
      </c>
    </row>
    <row r="11" spans="2:7">
      <c r="B11" s="311" t="s">
        <v>368</v>
      </c>
      <c r="C11" s="312">
        <v>0</v>
      </c>
      <c r="D11" s="312">
        <f>D5/Charakterystyka_2020!L105*Charakterystyka_2020!AD105</f>
        <v>0</v>
      </c>
      <c r="E11" s="312">
        <v>0</v>
      </c>
      <c r="F11" s="312">
        <f>Wskaźniki!$C$13</f>
        <v>0.09</v>
      </c>
      <c r="G11" s="396">
        <f>D11*F11</f>
        <v>0</v>
      </c>
    </row>
    <row r="12" spans="2:7">
      <c r="B12" s="311" t="s">
        <v>369</v>
      </c>
      <c r="C12" s="312">
        <v>34</v>
      </c>
      <c r="D12" s="312">
        <f>INT(D6/Charakterystyka_2020!L67*Charakterystyka_2020!AI67)</f>
        <v>30154</v>
      </c>
      <c r="E12" s="312">
        <f>INT(E6/Charakterystyka_2020!L67*Charakterystyka_2020!AI67)</f>
        <v>76688</v>
      </c>
      <c r="F12" s="312">
        <f>Wskaźniki!$C$13</f>
        <v>0.09</v>
      </c>
      <c r="G12" s="396">
        <f t="shared" ref="G12:G14" si="1">D12*F12</f>
        <v>2713.8599999999997</v>
      </c>
    </row>
    <row r="13" spans="2:7">
      <c r="B13" s="311" t="s">
        <v>370</v>
      </c>
      <c r="C13" s="312">
        <v>3</v>
      </c>
      <c r="D13" s="312">
        <f>D7</f>
        <v>3040</v>
      </c>
      <c r="E13" s="312">
        <f>E7</f>
        <v>5445</v>
      </c>
      <c r="F13" s="312">
        <f>Wskaźniki!$C$13</f>
        <v>0.09</v>
      </c>
      <c r="G13" s="396">
        <f t="shared" si="1"/>
        <v>273.59999999999997</v>
      </c>
    </row>
    <row r="14" spans="2:7" ht="15.75" thickBot="1">
      <c r="B14" s="314" t="s">
        <v>371</v>
      </c>
      <c r="C14" s="315">
        <v>1</v>
      </c>
      <c r="D14" s="315">
        <f>INT(D8/Charakterystyka_2020!L105*Charakterystyka_2020!AD105)</f>
        <v>444</v>
      </c>
      <c r="E14" s="315">
        <f>INT(E8/Charakterystyka_2020!L105*Charakterystyka_2020!AD105)</f>
        <v>253</v>
      </c>
      <c r="F14" s="315">
        <f>Wskaźniki!$C$13</f>
        <v>0.09</v>
      </c>
      <c r="G14" s="396">
        <f t="shared" si="1"/>
        <v>39.96</v>
      </c>
    </row>
  </sheetData>
  <mergeCells count="2">
    <mergeCell ref="B3:E3"/>
    <mergeCell ref="B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G14"/>
  <sheetViews>
    <sheetView showGridLines="0" workbookViewId="0">
      <selection activeCell="C5" sqref="C5"/>
    </sheetView>
  </sheetViews>
  <sheetFormatPr defaultRowHeight="15"/>
  <cols>
    <col min="1" max="1" width="9" style="277"/>
    <col min="2" max="2" width="22.375" style="277" customWidth="1"/>
    <col min="3" max="3" width="15.75" style="277" customWidth="1"/>
    <col min="4" max="4" width="15.875" style="277" customWidth="1"/>
    <col min="5" max="5" width="18" style="277" customWidth="1"/>
    <col min="6" max="6" width="13.5" style="277" customWidth="1"/>
    <col min="7" max="7" width="12.125" style="277" customWidth="1"/>
    <col min="8" max="8" width="9" style="277"/>
    <col min="9" max="9" width="18.25" style="277" customWidth="1"/>
    <col min="10" max="16384" width="9" style="277"/>
  </cols>
  <sheetData>
    <row r="1" spans="2:7" ht="15.75" thickBot="1"/>
    <row r="2" spans="2:7" ht="15.75" customHeight="1" thickBot="1">
      <c r="B2" s="867" t="s">
        <v>374</v>
      </c>
      <c r="C2" s="868"/>
      <c r="D2" s="868"/>
      <c r="E2" s="868"/>
      <c r="F2" s="868"/>
      <c r="G2" s="869"/>
    </row>
    <row r="3" spans="2:7" ht="28.5" customHeight="1" thickBot="1">
      <c r="B3" s="863" t="s">
        <v>375</v>
      </c>
      <c r="C3" s="863"/>
      <c r="D3" s="863"/>
      <c r="E3" s="863"/>
    </row>
    <row r="4" spans="2:7" ht="45">
      <c r="B4" s="811">
        <v>2014</v>
      </c>
      <c r="C4" s="812" t="s">
        <v>372</v>
      </c>
      <c r="D4" s="812" t="s">
        <v>364</v>
      </c>
      <c r="E4" s="813" t="s">
        <v>373</v>
      </c>
      <c r="F4" s="812" t="s">
        <v>391</v>
      </c>
      <c r="G4" s="814" t="s">
        <v>392</v>
      </c>
    </row>
    <row r="5" spans="2:7">
      <c r="B5" s="311" t="s">
        <v>368</v>
      </c>
      <c r="C5" s="312">
        <v>0</v>
      </c>
      <c r="D5" s="312">
        <v>0</v>
      </c>
      <c r="E5" s="313">
        <v>0</v>
      </c>
      <c r="F5" s="312">
        <f>Wskaźniki!$C$13</f>
        <v>0.09</v>
      </c>
      <c r="G5" s="394">
        <f>D5*F5</f>
        <v>0</v>
      </c>
    </row>
    <row r="6" spans="2:7">
      <c r="B6" s="311" t="s">
        <v>369</v>
      </c>
      <c r="C6" s="312">
        <v>34</v>
      </c>
      <c r="D6" s="312">
        <v>28079</v>
      </c>
      <c r="E6" s="313">
        <v>71410</v>
      </c>
      <c r="F6" s="312">
        <f>Wskaźniki!$C$13</f>
        <v>0.09</v>
      </c>
      <c r="G6" s="394">
        <f t="shared" ref="G6:G8" si="0">D6*F6</f>
        <v>2527.11</v>
      </c>
    </row>
    <row r="7" spans="2:7">
      <c r="B7" s="311" t="s">
        <v>370</v>
      </c>
      <c r="C7" s="312">
        <v>3</v>
      </c>
      <c r="D7" s="312">
        <v>3040</v>
      </c>
      <c r="E7" s="313">
        <v>5445</v>
      </c>
      <c r="F7" s="312">
        <f>Wskaźniki!$C$13</f>
        <v>0.09</v>
      </c>
      <c r="G7" s="394">
        <f t="shared" si="0"/>
        <v>273.59999999999997</v>
      </c>
    </row>
    <row r="8" spans="2:7" ht="15.75" thickBot="1">
      <c r="B8" s="314" t="s">
        <v>371</v>
      </c>
      <c r="C8" s="315">
        <v>1</v>
      </c>
      <c r="D8" s="315">
        <v>350</v>
      </c>
      <c r="E8" s="316">
        <v>200</v>
      </c>
      <c r="F8" s="315">
        <f>Wskaźniki!$C$13</f>
        <v>0.09</v>
      </c>
      <c r="G8" s="395">
        <f t="shared" si="0"/>
        <v>31.5</v>
      </c>
    </row>
    <row r="9" spans="2:7" ht="15.75" thickBot="1"/>
    <row r="10" spans="2:7" ht="45">
      <c r="B10" s="811" t="s">
        <v>595</v>
      </c>
      <c r="C10" s="812" t="s">
        <v>372</v>
      </c>
      <c r="D10" s="812" t="s">
        <v>364</v>
      </c>
      <c r="E10" s="812" t="s">
        <v>373</v>
      </c>
      <c r="F10" s="812" t="s">
        <v>391</v>
      </c>
      <c r="G10" s="814" t="s">
        <v>392</v>
      </c>
    </row>
    <row r="11" spans="2:7">
      <c r="B11" s="311" t="s">
        <v>368</v>
      </c>
      <c r="C11" s="312">
        <v>0</v>
      </c>
      <c r="D11" s="312">
        <f>D5/Charakterystyka_2020!L105*Charakterystyka_2024!AD105</f>
        <v>0</v>
      </c>
      <c r="E11" s="312">
        <v>0</v>
      </c>
      <c r="F11" s="312">
        <f>Wskaźniki!$C$13</f>
        <v>0.09</v>
      </c>
      <c r="G11" s="396">
        <f>D11*F11</f>
        <v>0</v>
      </c>
    </row>
    <row r="12" spans="2:7">
      <c r="B12" s="311" t="s">
        <v>369</v>
      </c>
      <c r="C12" s="312">
        <v>34</v>
      </c>
      <c r="D12" s="312">
        <f>INT(D6/Charakterystyka_2020!L67*Charakterystyka_2024!AI67)</f>
        <v>31623</v>
      </c>
      <c r="E12" s="312">
        <f>INT(E6/Charakterystyka_2020!L67*Charakterystyka_2024!AI67)</f>
        <v>80424</v>
      </c>
      <c r="F12" s="312">
        <f>Wskaźniki!$C$13</f>
        <v>0.09</v>
      </c>
      <c r="G12" s="396">
        <f t="shared" ref="G12:G14" si="1">D12*F12</f>
        <v>2846.0699999999997</v>
      </c>
    </row>
    <row r="13" spans="2:7">
      <c r="B13" s="311" t="s">
        <v>370</v>
      </c>
      <c r="C13" s="312">
        <v>3</v>
      </c>
      <c r="D13" s="312">
        <f>D7</f>
        <v>3040</v>
      </c>
      <c r="E13" s="312">
        <f>E7</f>
        <v>5445</v>
      </c>
      <c r="F13" s="312">
        <f>Wskaźniki!$C$13</f>
        <v>0.09</v>
      </c>
      <c r="G13" s="396">
        <f t="shared" si="1"/>
        <v>273.59999999999997</v>
      </c>
    </row>
    <row r="14" spans="2:7" ht="15.75" thickBot="1">
      <c r="B14" s="314" t="s">
        <v>371</v>
      </c>
      <c r="C14" s="315">
        <v>1</v>
      </c>
      <c r="D14" s="315">
        <f>INT(D8/Charakterystyka_2020!L105*Charakterystyka_2024!AD105)</f>
        <v>575</v>
      </c>
      <c r="E14" s="315">
        <f>INT(E8/Charakterystyka_2020!L105*Charakterystyka_2024!AD105)</f>
        <v>328</v>
      </c>
      <c r="F14" s="315">
        <f>Wskaźniki!$C$13</f>
        <v>0.09</v>
      </c>
      <c r="G14" s="396">
        <f t="shared" si="1"/>
        <v>51.75</v>
      </c>
    </row>
  </sheetData>
  <mergeCells count="2">
    <mergeCell ref="B2:G2"/>
    <mergeCell ref="B3:E3"/>
  </mergeCells>
  <pageMargins left="0.7" right="0.7" top="0.75" bottom="0.75" header="0.3" footer="0.3"/>
  <pageSetup paperSize="9" scale="7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J43"/>
  <sheetViews>
    <sheetView zoomScale="80" zoomScaleNormal="80" workbookViewId="0">
      <selection activeCell="C5" sqref="C5"/>
    </sheetView>
  </sheetViews>
  <sheetFormatPr defaultRowHeight="15"/>
  <cols>
    <col min="1" max="1" width="5.375" style="553" customWidth="1"/>
    <col min="2" max="2" width="35.875" style="552" customWidth="1"/>
    <col min="3" max="3" width="18.875" style="553" customWidth="1"/>
    <col min="4" max="4" width="18" style="553" customWidth="1"/>
    <col min="5" max="5" width="15.875" style="553" customWidth="1"/>
    <col min="6" max="6" width="17" style="553" customWidth="1"/>
    <col min="7" max="7" width="22.125" style="553" customWidth="1"/>
    <col min="8" max="8" width="18.875" style="553" customWidth="1"/>
    <col min="9" max="9" width="17.625" style="553" customWidth="1"/>
    <col min="10" max="10" width="12.625" style="553" customWidth="1"/>
    <col min="11" max="16384" width="9" style="553"/>
  </cols>
  <sheetData>
    <row r="2" spans="2:10" ht="28.5" customHeight="1">
      <c r="B2" s="870" t="s">
        <v>211</v>
      </c>
      <c r="C2" s="870"/>
      <c r="D2" s="870"/>
      <c r="E2" s="561"/>
      <c r="G2" s="560"/>
    </row>
    <row r="3" spans="2:10">
      <c r="B3" s="641" t="s">
        <v>212</v>
      </c>
      <c r="C3" s="642">
        <v>3.6</v>
      </c>
      <c r="D3" s="643" t="s">
        <v>207</v>
      </c>
      <c r="E3" s="562"/>
    </row>
    <row r="4" spans="2:10">
      <c r="B4" s="641" t="s">
        <v>213</v>
      </c>
      <c r="C4" s="644">
        <v>0.27700000000000002</v>
      </c>
      <c r="D4" s="643" t="s">
        <v>214</v>
      </c>
      <c r="E4" s="562"/>
    </row>
    <row r="5" spans="2:10">
      <c r="B5" s="553"/>
    </row>
    <row r="6" spans="2:10">
      <c r="B6" s="871" t="s">
        <v>366</v>
      </c>
      <c r="C6" s="871"/>
      <c r="D6" s="871"/>
      <c r="E6" s="871"/>
      <c r="F6" s="871"/>
      <c r="G6" s="871"/>
      <c r="H6" s="871"/>
    </row>
    <row r="7" spans="2:10" ht="30">
      <c r="B7" s="576" t="s">
        <v>360</v>
      </c>
      <c r="C7" s="636" t="s">
        <v>67</v>
      </c>
      <c r="D7" s="636" t="s">
        <v>365</v>
      </c>
      <c r="E7" s="576" t="s">
        <v>504</v>
      </c>
      <c r="F7" s="636" t="s">
        <v>108</v>
      </c>
      <c r="G7" s="636" t="s">
        <v>364</v>
      </c>
      <c r="H7" s="637" t="s">
        <v>359</v>
      </c>
    </row>
    <row r="8" spans="2:10">
      <c r="B8" s="571" t="s">
        <v>58</v>
      </c>
      <c r="C8" s="638" t="s">
        <v>362</v>
      </c>
      <c r="D8" s="563">
        <f>'Ankietyzacja mieszkanców_2014'!H95</f>
        <v>197</v>
      </c>
      <c r="E8" s="563">
        <f>'Ankietyzacja mieszkanców_2014'!E12+'Ankietyzacja mieszkanców_2014'!E14+'Ankietyzacja mieszkanców_2014'!E16+'Ankietyzacja mieszkanców_2014'!E17+'Ankietyzacja mieszkanców_2014'!E19+'Ankietyzacja mieszkanców_2014'!E20+'Ankietyzacja mieszkanców_2014'!E21+'Ankietyzacja mieszkanców_2014'!E22+'Ankietyzacja mieszkanców_2014'!E23+'Ankietyzacja mieszkanców_2014'!E24+'Ankietyzacja mieszkanców_2014'!E25+'Ankietyzacja mieszkanców_2014'!E26+'Ankietyzacja mieszkanców_2014'!E27+'Ankietyzacja mieszkanców_2014'!E28+'Ankietyzacja mieszkanców_2014'!E29+'Ankietyzacja mieszkanców_2014'!E30+'Ankietyzacja mieszkanców_2014'!E34+'Ankietyzacja mieszkanców_2014'!E35+'Ankietyzacja mieszkanców_2014'!E36+'Ankietyzacja mieszkanców_2014'!E38+'Ankietyzacja mieszkanców_2014'!E42+'Ankietyzacja mieszkanców_2014'!E43+'Ankietyzacja mieszkanców_2014'!E48+'Ankietyzacja mieszkanców_2014'!E50+'Ankietyzacja mieszkanców_2014'!E51+'Ankietyzacja mieszkanców_2014'!E52+'Ankietyzacja mieszkanców_2014'!E53+'Ankietyzacja mieszkanców_2014'!E57+'Ankietyzacja mieszkanców_2014'!E59+'Ankietyzacja mieszkanców_2014'!E60+'Ankietyzacja mieszkanców_2014'!E64+'Ankietyzacja mieszkanców_2014'!E65+'Ankietyzacja mieszkanców_2014'!E66+'Ankietyzacja mieszkanców_2014'!E67+'Ankietyzacja mieszkanców_2014'!E68+'Ankietyzacja mieszkanców_2014'!E69+'Ankietyzacja mieszkanców_2014'!E70+'Ankietyzacja mieszkanców_2014'!E73+'Ankietyzacja mieszkanców_2014'!E76+'Ankietyzacja mieszkanców_2014'!E77+'Ankietyzacja mieszkanców_2014'!E79+'Ankietyzacja mieszkanców_2014'!E80+'Ankietyzacja mieszkanców_2014'!E87+'Ankietyzacja mieszkanców_2014'!E88+'Ankietyzacja mieszkanców_2014'!E89+'Ankietyzacja mieszkanców_2014'!E92+'Ankietyzacja mieszkanców_2014'!E93+'Ankietyzacja mieszkanców_2014'!E94</f>
        <v>6555</v>
      </c>
      <c r="F8" s="638">
        <v>20.7</v>
      </c>
      <c r="G8" s="639">
        <f>D8*F8</f>
        <v>4077.8999999999996</v>
      </c>
      <c r="H8" s="640">
        <f>G8*C4</f>
        <v>1129.5782999999999</v>
      </c>
    </row>
    <row r="9" spans="2:10">
      <c r="B9" s="571" t="s">
        <v>59</v>
      </c>
      <c r="C9" s="638" t="s">
        <v>207</v>
      </c>
      <c r="D9" s="563">
        <f>'Ankietyzacja mieszkanców_2014'!I95</f>
        <v>221.37569999999999</v>
      </c>
      <c r="E9" s="563">
        <f>'Ankietyzacja mieszkanców_2014'!E12+'Ankietyzacja mieszkanców_2014'!E74+'Ankietyzacja mieszkanców_2014'!E78+'Ankietyzacja mieszkanców_2014'!E90</f>
        <v>525</v>
      </c>
      <c r="F9" s="638">
        <v>0</v>
      </c>
      <c r="G9" s="639">
        <f>D9</f>
        <v>221.37569999999999</v>
      </c>
      <c r="H9" s="640">
        <f>G9*C4</f>
        <v>61.321068900000007</v>
      </c>
    </row>
    <row r="10" spans="2:10">
      <c r="B10" s="571" t="s">
        <v>113</v>
      </c>
      <c r="C10" s="638" t="s">
        <v>214</v>
      </c>
      <c r="D10" s="563">
        <f>'Ankietyzacja mieszkanców_2014'!K95</f>
        <v>73.813999999999993</v>
      </c>
      <c r="E10" s="563">
        <f>'Ankietyzacja mieszkanców_2014'!E9+'Ankietyzacja mieszkanców_2014'!E56</f>
        <v>218</v>
      </c>
      <c r="F10" s="638" t="s">
        <v>90</v>
      </c>
      <c r="G10" s="639">
        <f>D10*3.6</f>
        <v>265.73039999999997</v>
      </c>
      <c r="H10" s="640">
        <f>D10</f>
        <v>73.813999999999993</v>
      </c>
    </row>
    <row r="11" spans="2:10">
      <c r="B11" s="571" t="s">
        <v>41</v>
      </c>
      <c r="C11" s="638" t="s">
        <v>363</v>
      </c>
      <c r="D11" s="563">
        <f>'Ankietyzacja mieszkanców_2014'!J95</f>
        <v>199615</v>
      </c>
      <c r="E11" s="563">
        <f>'Ankietyzacja mieszkanców_2014'!E6+'Ankietyzacja mieszkanców_2014'!E7+'Ankietyzacja mieszkanców_2014'!E8+'Ankietyzacja mieszkanców_2014'!E11+'Ankietyzacja mieszkanców_2014'!E13+'Ankietyzacja mieszkanców_2014'!E15+'Ankietyzacja mieszkanców_2014'!E18+'Ankietyzacja mieszkanców_2014'!E31+'Ankietyzacja mieszkanców_2014'!E32+'Ankietyzacja mieszkanców_2014'!E37+'Ankietyzacja mieszkanców_2014'!E39+'Ankietyzacja mieszkanców_2014'!E40+'Ankietyzacja mieszkanców_2014'!E41+'Ankietyzacja mieszkanców_2014'!E44+'Ankietyzacja mieszkanców_2014'!E45+'Ankietyzacja mieszkanców_2014'!E46+'Ankietyzacja mieszkanców_2014'!E47+'Ankietyzacja mieszkanców_2014'!E49+'Ankietyzacja mieszkanców_2014'!E52+'Ankietyzacja mieszkanców_2014'!E53+'Ankietyzacja mieszkanców_2014'!E54+'Ankietyzacja mieszkanców_2014'!E55+'Ankietyzacja mieszkanców_2014'!E56+'Ankietyzacja mieszkanców_2014'!E57+'Ankietyzacja mieszkanców_2014'!E58+'Ankietyzacja mieszkanców_2014'!E61+'Ankietyzacja mieszkanców_2014'!E62+'Ankietyzacja mieszkanców_2014'!E63+'Ankietyzacja mieszkanców_2014'!E70+'Ankietyzacja mieszkanców_2014'!E71+'Ankietyzacja mieszkanców_2014'!E73+'Ankietyzacja mieszkanców_2014'!E75+'Ankietyzacja mieszkanców_2014'!E81+'Ankietyzacja mieszkanców_2014'!E82+'Ankietyzacja mieszkanców_2014'!E83+'Ankietyzacja mieszkanców_2014'!E84+'Ankietyzacja mieszkanców_2014'!E85+'Ankietyzacja mieszkanców_2014'!E86+'Ankietyzacja mieszkanców_2014'!E91</f>
        <v>5473.55</v>
      </c>
      <c r="F11" s="638">
        <f>Wskaźniki!C11</f>
        <v>3.6119999999999999E-2</v>
      </c>
      <c r="G11" s="639">
        <f>D11*F11</f>
        <v>7210.0937999999996</v>
      </c>
      <c r="H11" s="640">
        <f>G11*C4</f>
        <v>1997.1959826</v>
      </c>
    </row>
    <row r="12" spans="2:10">
      <c r="B12" s="571" t="s">
        <v>559</v>
      </c>
      <c r="C12" s="638" t="s">
        <v>363</v>
      </c>
      <c r="D12" s="563">
        <f>'Ankietyzacja mieszkanców_2014'!L95</f>
        <v>73</v>
      </c>
      <c r="E12" s="563" t="s">
        <v>90</v>
      </c>
      <c r="F12" s="638" t="s">
        <v>90</v>
      </c>
      <c r="G12" s="639">
        <f>D12*Wskaźniki!C28*Wskaźniki!C29/1000</f>
        <v>782.92499999999995</v>
      </c>
      <c r="H12" s="640">
        <f>G12*C4</f>
        <v>216.870225</v>
      </c>
    </row>
    <row r="13" spans="2:10">
      <c r="B13" s="871" t="s">
        <v>3</v>
      </c>
      <c r="C13" s="871"/>
      <c r="D13" s="871"/>
      <c r="E13" s="871"/>
      <c r="F13" s="871"/>
      <c r="G13" s="570">
        <f>SUM(G8:G12)</f>
        <v>12558.024899999999</v>
      </c>
      <c r="H13" s="570">
        <f>SUM(H8:H12)</f>
        <v>3478.7795765000001</v>
      </c>
      <c r="J13" s="560"/>
    </row>
    <row r="14" spans="2:10" ht="23.25">
      <c r="B14" s="647" t="s">
        <v>560</v>
      </c>
      <c r="C14" s="554"/>
      <c r="D14" s="554"/>
      <c r="E14" s="554"/>
      <c r="F14" s="554"/>
      <c r="G14" s="565"/>
      <c r="H14" s="565"/>
      <c r="J14" s="560"/>
    </row>
    <row r="15" spans="2:10">
      <c r="B15" s="554"/>
      <c r="C15" s="554"/>
      <c r="D15" s="554"/>
      <c r="E15" s="554"/>
      <c r="F15" s="554"/>
      <c r="G15" s="565"/>
      <c r="H15" s="565"/>
      <c r="J15" s="560"/>
    </row>
    <row r="16" spans="2:10" ht="30">
      <c r="B16" s="576" t="s">
        <v>506</v>
      </c>
      <c r="C16" s="580" t="s">
        <v>507</v>
      </c>
      <c r="D16" s="554"/>
      <c r="E16" s="554"/>
      <c r="F16" s="554"/>
      <c r="G16" s="565"/>
      <c r="H16" s="565"/>
      <c r="J16" s="560"/>
    </row>
    <row r="17" spans="2:10">
      <c r="B17" s="573" t="s">
        <v>91</v>
      </c>
      <c r="C17" s="572">
        <f>G8/G13</f>
        <v>0.32472463086133874</v>
      </c>
      <c r="D17" s="554"/>
      <c r="E17" s="554"/>
      <c r="F17" s="554"/>
      <c r="G17" s="565"/>
      <c r="H17" s="565"/>
      <c r="I17" s="558"/>
      <c r="J17" s="560"/>
    </row>
    <row r="18" spans="2:10">
      <c r="B18" s="573" t="s">
        <v>44</v>
      </c>
      <c r="C18" s="572">
        <f>G9/G13</f>
        <v>1.7628225916322241E-2</v>
      </c>
      <c r="D18" s="554"/>
      <c r="E18" s="554"/>
      <c r="F18" s="554"/>
      <c r="G18" s="565"/>
      <c r="H18" s="565"/>
      <c r="I18" s="566"/>
      <c r="J18" s="560"/>
    </row>
    <row r="19" spans="2:10">
      <c r="B19" s="573" t="s">
        <v>62</v>
      </c>
      <c r="C19" s="572">
        <f>G10/G13</f>
        <v>2.1160206490751583E-2</v>
      </c>
      <c r="D19" s="554"/>
      <c r="E19" s="554"/>
      <c r="F19" s="554"/>
      <c r="G19" s="565"/>
      <c r="H19" s="565"/>
      <c r="J19" s="560"/>
    </row>
    <row r="20" spans="2:10">
      <c r="B20" s="645" t="s">
        <v>2</v>
      </c>
      <c r="C20" s="572">
        <f>G11/G13</f>
        <v>0.57414233985154783</v>
      </c>
      <c r="D20" s="554"/>
      <c r="E20" s="554"/>
      <c r="F20" s="554"/>
      <c r="G20" s="565"/>
      <c r="H20" s="565"/>
      <c r="J20" s="560"/>
    </row>
    <row r="21" spans="2:10">
      <c r="B21" s="573" t="s">
        <v>92</v>
      </c>
      <c r="C21" s="572">
        <f>G12/G13</f>
        <v>6.2344596880039634E-2</v>
      </c>
      <c r="D21" s="554"/>
      <c r="E21" s="554"/>
      <c r="F21" s="554"/>
      <c r="H21" s="565"/>
      <c r="J21" s="560"/>
    </row>
    <row r="22" spans="2:10">
      <c r="B22" s="574" t="s">
        <v>3</v>
      </c>
      <c r="C22" s="568">
        <f>SUM(C17:C21)</f>
        <v>1</v>
      </c>
      <c r="D22" s="554"/>
      <c r="E22" s="554"/>
      <c r="F22" s="554"/>
      <c r="G22" s="565"/>
      <c r="H22" s="565"/>
      <c r="J22" s="560"/>
    </row>
    <row r="23" spans="2:10">
      <c r="B23" s="554"/>
      <c r="C23" s="554"/>
      <c r="D23" s="554"/>
      <c r="E23" s="554"/>
      <c r="F23" s="554"/>
      <c r="G23" s="565"/>
      <c r="H23" s="565"/>
      <c r="J23" s="560"/>
    </row>
    <row r="24" spans="2:10">
      <c r="B24" s="554"/>
      <c r="C24" s="554"/>
      <c r="D24" s="554"/>
      <c r="E24" s="554"/>
      <c r="F24" s="554"/>
      <c r="G24" s="565"/>
      <c r="H24" s="565"/>
      <c r="J24" s="560"/>
    </row>
    <row r="25" spans="2:10">
      <c r="B25" s="872" t="s">
        <v>499</v>
      </c>
      <c r="C25" s="873"/>
      <c r="D25" s="554"/>
      <c r="E25" s="554"/>
      <c r="F25" s="554"/>
      <c r="G25" s="565"/>
      <c r="H25" s="565"/>
      <c r="J25" s="560"/>
    </row>
    <row r="26" spans="2:10">
      <c r="B26" s="575" t="s">
        <v>500</v>
      </c>
      <c r="C26" s="569">
        <f>G13</f>
        <v>12558.024899999999</v>
      </c>
      <c r="D26" s="554"/>
      <c r="E26" s="554"/>
      <c r="F26" s="554"/>
      <c r="G26" s="565"/>
      <c r="H26" s="565"/>
      <c r="J26" s="560"/>
    </row>
    <row r="27" spans="2:10">
      <c r="B27" s="575" t="s">
        <v>501</v>
      </c>
      <c r="C27" s="569">
        <f>'Ankietyzacja mieszkanców_2014'!E95</f>
        <v>12101.55</v>
      </c>
      <c r="D27" s="554"/>
      <c r="E27" s="554"/>
      <c r="F27" s="554"/>
      <c r="G27" s="555"/>
      <c r="H27" s="555"/>
    </row>
    <row r="28" spans="2:10">
      <c r="B28" s="575" t="s">
        <v>502</v>
      </c>
      <c r="C28" s="569">
        <f>Charakterystyka_2024!L67-'Ciepło sieciowe_2024'!E6</f>
        <v>301246</v>
      </c>
      <c r="D28" s="554"/>
      <c r="E28" s="554"/>
      <c r="F28" s="554"/>
      <c r="G28" s="555"/>
      <c r="H28" s="555"/>
    </row>
    <row r="29" spans="2:10" ht="45">
      <c r="B29" s="571" t="s">
        <v>510</v>
      </c>
      <c r="C29" s="570">
        <f>C26*C28/C27</f>
        <v>312609.10949633725</v>
      </c>
      <c r="D29" s="554"/>
      <c r="E29" s="554"/>
      <c r="F29" s="646"/>
      <c r="G29" s="555"/>
      <c r="H29" s="555"/>
    </row>
    <row r="30" spans="2:10">
      <c r="D30" s="553" t="s">
        <v>381</v>
      </c>
      <c r="E30" s="560"/>
      <c r="F30" s="646"/>
      <c r="G30" s="555"/>
      <c r="H30" s="555"/>
    </row>
    <row r="31" spans="2:10" ht="45">
      <c r="B31" s="576" t="s">
        <v>509</v>
      </c>
      <c r="C31" s="576" t="s">
        <v>508</v>
      </c>
      <c r="D31" s="576" t="s">
        <v>511</v>
      </c>
      <c r="F31" s="554"/>
      <c r="G31" s="555"/>
      <c r="H31" s="555"/>
    </row>
    <row r="32" spans="2:10">
      <c r="B32" s="557" t="s">
        <v>91</v>
      </c>
      <c r="C32" s="780">
        <f>D32/D38</f>
        <v>0.40081113149105047</v>
      </c>
      <c r="D32" s="559">
        <f>C17*C29</f>
        <v>101511.87768508993</v>
      </c>
      <c r="E32" s="554"/>
      <c r="F32" s="554"/>
      <c r="G32" s="555"/>
      <c r="H32" s="555"/>
    </row>
    <row r="33" spans="2:7">
      <c r="B33" s="557" t="s">
        <v>44</v>
      </c>
      <c r="C33" s="780">
        <f>D33/D38</f>
        <v>2.17587103169826E-2</v>
      </c>
      <c r="D33" s="559">
        <f>C18*C29</f>
        <v>5510.7440057017493</v>
      </c>
    </row>
    <row r="34" spans="2:7">
      <c r="B34" s="557" t="s">
        <v>2</v>
      </c>
      <c r="C34" s="780">
        <f>D34/D38</f>
        <v>0.36349169882346577</v>
      </c>
      <c r="D34" s="559">
        <f>Gaz_2020!E9</f>
        <v>92060.13</v>
      </c>
    </row>
    <row r="35" spans="2:7">
      <c r="B35" s="557" t="s">
        <v>62</v>
      </c>
      <c r="C35" s="780">
        <f>D35/D38</f>
        <v>2.6118272222361859E-2</v>
      </c>
      <c r="D35" s="559">
        <f>C19*C29</f>
        <v>6614.8733078324676</v>
      </c>
      <c r="G35" s="556"/>
    </row>
    <row r="36" spans="2:7">
      <c r="B36" s="557" t="s">
        <v>92</v>
      </c>
      <c r="C36" s="780">
        <f>D36/D38</f>
        <v>7.6952611668415286E-2</v>
      </c>
      <c r="D36" s="559">
        <f>C21*C29</f>
        <v>19489.488912577315</v>
      </c>
      <c r="E36" s="564"/>
      <c r="F36" s="560"/>
      <c r="G36" s="560"/>
    </row>
    <row r="37" spans="2:7">
      <c r="B37" s="557" t="s">
        <v>209</v>
      </c>
      <c r="C37" s="780">
        <f>D37/D38</f>
        <v>0.11086757547772412</v>
      </c>
      <c r="D37" s="559">
        <f>'Ciepło sieciowe_2020'!D6</f>
        <v>28079</v>
      </c>
      <c r="E37" s="564"/>
    </row>
    <row r="38" spans="2:7">
      <c r="B38" s="577" t="s">
        <v>3</v>
      </c>
      <c r="C38" s="578">
        <f>SUM(C32:C37)</f>
        <v>1</v>
      </c>
      <c r="D38" s="579">
        <f>SUM(D32:D37)</f>
        <v>253266.11391120145</v>
      </c>
      <c r="E38" s="564"/>
    </row>
    <row r="39" spans="2:7">
      <c r="E39" s="564"/>
    </row>
    <row r="41" spans="2:7">
      <c r="B41" s="553"/>
    </row>
    <row r="42" spans="2:7" ht="15.75" customHeight="1">
      <c r="B42" s="553"/>
    </row>
    <row r="43" spans="2:7">
      <c r="B43" s="553"/>
    </row>
  </sheetData>
  <mergeCells count="4">
    <mergeCell ref="B2:D2"/>
    <mergeCell ref="B6:H6"/>
    <mergeCell ref="B13:F13"/>
    <mergeCell ref="B25:C25"/>
  </mergeCells>
  <pageMargins left="0.7" right="0.7" top="0.75" bottom="0.75" header="0.3" footer="0.3"/>
  <pageSetup paperSize="9" scale="3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L26"/>
  <sheetViews>
    <sheetView showGridLines="0" view="pageBreakPreview" topLeftCell="A7" zoomScale="90" zoomScaleNormal="100" zoomScaleSheetLayoutView="90" workbookViewId="0">
      <selection activeCell="C16" sqref="C16"/>
    </sheetView>
  </sheetViews>
  <sheetFormatPr defaultRowHeight="15"/>
  <cols>
    <col min="1" max="1" width="2.5" style="6" customWidth="1"/>
    <col min="2" max="2" width="31.625" style="6" customWidth="1"/>
    <col min="3" max="3" width="17.5" style="6" customWidth="1"/>
    <col min="4" max="4" width="2.5" style="6" customWidth="1"/>
    <col min="5" max="5" width="23.5" style="6" customWidth="1"/>
    <col min="6" max="6" width="14.375" style="6" customWidth="1"/>
    <col min="7" max="8" width="18.625" style="6" customWidth="1"/>
    <col min="9" max="9" width="14.625" style="6" customWidth="1"/>
    <col min="10" max="10" width="16.25" style="6" customWidth="1"/>
    <col min="11" max="11" width="6.2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>
      <c r="K1" s="6"/>
    </row>
    <row r="2" spans="2:12" s="9" customFormat="1" ht="19.5" thickBot="1">
      <c r="B2" s="10" t="s">
        <v>42</v>
      </c>
      <c r="C2" s="11"/>
      <c r="D2" s="11"/>
      <c r="E2" s="11"/>
      <c r="F2" s="11"/>
      <c r="G2" s="11"/>
      <c r="H2" s="11"/>
      <c r="I2" s="11"/>
      <c r="J2" s="12"/>
      <c r="K2" s="6"/>
    </row>
    <row r="3" spans="2:12" ht="15.75" thickBot="1"/>
    <row r="4" spans="2:12" ht="45.75" thickBot="1">
      <c r="B4" s="874" t="s">
        <v>45</v>
      </c>
      <c r="C4" s="875"/>
      <c r="E4" s="63">
        <v>2014</v>
      </c>
      <c r="F4" s="26" t="s">
        <v>43</v>
      </c>
      <c r="G4" s="38" t="s">
        <v>51</v>
      </c>
      <c r="H4" s="38" t="s">
        <v>215</v>
      </c>
      <c r="I4" s="38" t="s">
        <v>367</v>
      </c>
      <c r="J4" s="64" t="s">
        <v>8</v>
      </c>
    </row>
    <row r="5" spans="2:12">
      <c r="B5" s="59" t="s">
        <v>209</v>
      </c>
      <c r="C5" s="67">
        <f>'Ciepło założenia'!C37</f>
        <v>0.11086757547772412</v>
      </c>
      <c r="E5" s="55" t="s">
        <v>209</v>
      </c>
      <c r="F5" s="67">
        <f>$C$5</f>
        <v>0.11086757547772412</v>
      </c>
      <c r="G5" s="278">
        <f>F5*$C$14</f>
        <v>28079</v>
      </c>
      <c r="H5" s="68">
        <f>G5*'Ciepło założenia'!C4</f>
        <v>7777.8830000000007</v>
      </c>
      <c r="I5" s="135">
        <f>Wskaźniki!C13</f>
        <v>0.09</v>
      </c>
      <c r="J5" s="283">
        <f>G5*I5</f>
        <v>2527.11</v>
      </c>
    </row>
    <row r="6" spans="2:12">
      <c r="B6" s="60" t="s">
        <v>2</v>
      </c>
      <c r="C6" s="69">
        <f>'Ciepło założenia'!C34</f>
        <v>0.36349169882346577</v>
      </c>
      <c r="E6" s="56" t="s">
        <v>2</v>
      </c>
      <c r="F6" s="130">
        <f>$C$6</f>
        <v>0.36349169882346577</v>
      </c>
      <c r="G6" s="279">
        <f t="shared" ref="G6:G10" si="0">F6*$C$14</f>
        <v>92060.13</v>
      </c>
      <c r="H6" s="131">
        <f>G6*'Ciepło założenia'!C4</f>
        <v>25500.656010000002</v>
      </c>
      <c r="I6" s="136">
        <f>Wskaźniki!C12</f>
        <v>5.5820000000000002E-2</v>
      </c>
      <c r="J6" s="280">
        <f>G6*I6</f>
        <v>5138.7964566000001</v>
      </c>
    </row>
    <row r="7" spans="2:12">
      <c r="B7" s="60" t="s">
        <v>91</v>
      </c>
      <c r="C7" s="69">
        <f>'Ciepło założenia'!C32</f>
        <v>0.40081113149105047</v>
      </c>
      <c r="E7" s="57" t="s">
        <v>91</v>
      </c>
      <c r="F7" s="130">
        <f>$C$7</f>
        <v>0.40081113149105047</v>
      </c>
      <c r="G7" s="279">
        <f t="shared" si="0"/>
        <v>101511.87768508993</v>
      </c>
      <c r="H7" s="131">
        <f>G7*'Ciepło założenia'!C4</f>
        <v>28118.790118769914</v>
      </c>
      <c r="I7" s="137">
        <f>Wskaźniki!C8</f>
        <v>9.4729999999999995E-2</v>
      </c>
      <c r="J7" s="280">
        <f>G7*I7</f>
        <v>9616.2201731085679</v>
      </c>
    </row>
    <row r="8" spans="2:12">
      <c r="B8" s="60" t="s">
        <v>50</v>
      </c>
      <c r="C8" s="69">
        <f>'Ciepło założenia'!C35</f>
        <v>2.6118272222361859E-2</v>
      </c>
      <c r="E8" s="56" t="s">
        <v>50</v>
      </c>
      <c r="F8" s="130">
        <f>$C$8</f>
        <v>2.6118272222361859E-2</v>
      </c>
      <c r="G8" s="279">
        <f t="shared" si="0"/>
        <v>6614.8733078324676</v>
      </c>
      <c r="H8" s="131">
        <f>G8*'Ciepło założenia'!C4</f>
        <v>1832.3199062695937</v>
      </c>
      <c r="I8" s="136">
        <v>0.22600000000000001</v>
      </c>
      <c r="J8" s="280">
        <f>G8*I8</f>
        <v>1494.9613675701378</v>
      </c>
    </row>
    <row r="9" spans="2:12">
      <c r="B9" s="133" t="s">
        <v>44</v>
      </c>
      <c r="C9" s="134">
        <f>'Ciepło założenia'!C33</f>
        <v>2.17587103169826E-2</v>
      </c>
      <c r="E9" s="56" t="s">
        <v>44</v>
      </c>
      <c r="F9" s="130">
        <f>$C$9</f>
        <v>2.17587103169826E-2</v>
      </c>
      <c r="G9" s="279">
        <f t="shared" si="0"/>
        <v>5510.7440057017493</v>
      </c>
      <c r="H9" s="131">
        <f>G9*'Ciepło założenia'!C4</f>
        <v>1526.4760895793847</v>
      </c>
      <c r="I9" s="136">
        <f>Wskaźniki!C9</f>
        <v>7.6590000000000005E-2</v>
      </c>
      <c r="J9" s="280">
        <f>G9*I9</f>
        <v>422.06788339669703</v>
      </c>
    </row>
    <row r="10" spans="2:12" ht="15.75" thickBot="1">
      <c r="B10" s="61" t="s">
        <v>92</v>
      </c>
      <c r="C10" s="70">
        <f>'Ciepło założenia'!C36</f>
        <v>7.6952611668415286E-2</v>
      </c>
      <c r="E10" s="281" t="s">
        <v>92</v>
      </c>
      <c r="F10" s="70">
        <f>$C$10</f>
        <v>7.6952611668415286E-2</v>
      </c>
      <c r="G10" s="284">
        <f t="shared" si="0"/>
        <v>19489.488912577315</v>
      </c>
      <c r="H10" s="282">
        <f>G10*'Ciepło założenia'!C4</f>
        <v>5398.5884287839172</v>
      </c>
      <c r="I10" s="287">
        <v>0</v>
      </c>
      <c r="J10" s="288">
        <v>0</v>
      </c>
    </row>
    <row r="11" spans="2:12" ht="15.75" thickBot="1">
      <c r="B11" s="62"/>
      <c r="C11" s="66">
        <f>SUM(C5:C10)</f>
        <v>1.0000000000000002</v>
      </c>
      <c r="E11" s="65" t="s">
        <v>3</v>
      </c>
      <c r="F11" s="100"/>
      <c r="G11" s="65">
        <f>C14</f>
        <v>253266.11391120145</v>
      </c>
      <c r="H11" s="65">
        <f>SUM(H5:H10)</f>
        <v>70154.713553402806</v>
      </c>
      <c r="I11" s="58"/>
      <c r="J11" s="65">
        <f>SUM(J5:J9)</f>
        <v>19199.1558806754</v>
      </c>
      <c r="L11" s="13"/>
    </row>
    <row r="12" spans="2:12" ht="15.75" thickBot="1">
      <c r="G12" s="13"/>
    </row>
    <row r="13" spans="2:12" ht="44.25" customHeight="1">
      <c r="B13" s="876" t="s">
        <v>46</v>
      </c>
      <c r="C13" s="877"/>
      <c r="E13" s="63" t="s">
        <v>49</v>
      </c>
      <c r="F13" s="26" t="s">
        <v>43</v>
      </c>
      <c r="G13" s="38" t="s">
        <v>51</v>
      </c>
      <c r="H13" s="38" t="str">
        <f>H4</f>
        <v>Potrzeby cieplne zaspokajane z danego rodzaju paliwa [MWh]</v>
      </c>
      <c r="I13" s="38" t="str">
        <f>I4</f>
        <v>wskaźnik emisji [Mg CO2/GJ]</v>
      </c>
      <c r="J13" s="64" t="s">
        <v>8</v>
      </c>
    </row>
    <row r="14" spans="2:12" ht="30">
      <c r="B14" s="587" t="s">
        <v>86</v>
      </c>
      <c r="C14" s="588">
        <f>'Ciepło założenia'!D38</f>
        <v>253266.11391120145</v>
      </c>
      <c r="E14" s="56" t="str">
        <f>E5</f>
        <v>ciepło sieciowe</v>
      </c>
      <c r="F14" s="130">
        <f>$C$5</f>
        <v>0.11086757547772412</v>
      </c>
      <c r="G14" s="131">
        <f>F14*$C$15</f>
        <v>30154.695257824915</v>
      </c>
      <c r="H14" s="131">
        <f>G14*'Ciepło założenia'!C4</f>
        <v>8352.8505864175022</v>
      </c>
      <c r="I14" s="136">
        <f>I5</f>
        <v>0.09</v>
      </c>
      <c r="J14" s="280">
        <f>G14*I14</f>
        <v>2713.9225732042423</v>
      </c>
    </row>
    <row r="15" spans="2:12" ht="30">
      <c r="B15" s="585" t="s">
        <v>47</v>
      </c>
      <c r="C15" s="586">
        <f>C14/Charakterystyka_2020!L67*Charakterystyka_2020!AI67</f>
        <v>271988.40714148834</v>
      </c>
      <c r="E15" s="56" t="str">
        <f>B6</f>
        <v>gaz</v>
      </c>
      <c r="F15" s="130">
        <f>$C$6</f>
        <v>0.36349169882346577</v>
      </c>
      <c r="G15" s="131">
        <f t="shared" ref="G15:G19" si="1">F15*$C$15</f>
        <v>98865.528172148071</v>
      </c>
      <c r="H15" s="131">
        <f>G15*'Ciepło założenia'!C4</f>
        <v>27385.751303685018</v>
      </c>
      <c r="I15" s="136">
        <f>I6</f>
        <v>5.5820000000000002E-2</v>
      </c>
      <c r="J15" s="280">
        <f>G15*I15</f>
        <v>5518.6737825693053</v>
      </c>
    </row>
    <row r="16" spans="2:12" ht="30.75" thickBot="1">
      <c r="B16" s="589" t="s">
        <v>590</v>
      </c>
      <c r="C16" s="590">
        <f>C14/Charakterystyka_2020!L67</f>
        <v>0.6796244094049243</v>
      </c>
      <c r="E16" s="57" t="s">
        <v>91</v>
      </c>
      <c r="F16" s="130">
        <f>$C$7</f>
        <v>0.40081113149105047</v>
      </c>
      <c r="G16" s="131">
        <f t="shared" si="1"/>
        <v>109015.98121882846</v>
      </c>
      <c r="H16" s="131">
        <f>G16*'Ciepło założenia'!C4</f>
        <v>30197.426797615484</v>
      </c>
      <c r="I16" s="136">
        <f>I7</f>
        <v>9.4729999999999995E-2</v>
      </c>
      <c r="J16" s="280">
        <f>G16*I16</f>
        <v>10327.083900859619</v>
      </c>
    </row>
    <row r="17" spans="5:10" ht="23.25" customHeight="1">
      <c r="E17" s="56" t="str">
        <f>B8</f>
        <v>en. elektryczna</v>
      </c>
      <c r="F17" s="130">
        <f>$C$8</f>
        <v>2.6118272222361859E-2</v>
      </c>
      <c r="G17" s="131">
        <f t="shared" si="1"/>
        <v>7103.8672590479828</v>
      </c>
      <c r="H17" s="131">
        <f>G17*'Ciepło założenia'!C4</f>
        <v>1967.7712307562913</v>
      </c>
      <c r="I17" s="136">
        <f>I8</f>
        <v>0.22600000000000001</v>
      </c>
      <c r="J17" s="280">
        <f>G17*I17</f>
        <v>1605.4740005448441</v>
      </c>
    </row>
    <row r="18" spans="5:10" ht="33" customHeight="1">
      <c r="E18" s="56" t="s">
        <v>44</v>
      </c>
      <c r="F18" s="130">
        <f>$C$9</f>
        <v>2.17587103169826E-2</v>
      </c>
      <c r="G18" s="131">
        <f t="shared" si="1"/>
        <v>5918.1169605691666</v>
      </c>
      <c r="H18" s="131">
        <f>G18*'Ciepło założenia'!C4</f>
        <v>1639.3183980776594</v>
      </c>
      <c r="I18" s="136">
        <f>I9</f>
        <v>7.6590000000000005E-2</v>
      </c>
      <c r="J18" s="280">
        <f>G18*I18</f>
        <v>453.2685780099925</v>
      </c>
    </row>
    <row r="19" spans="5:10" ht="33" customHeight="1" thickBot="1">
      <c r="E19" s="281" t="s">
        <v>92</v>
      </c>
      <c r="F19" s="70">
        <f>$C$10</f>
        <v>7.6952611668415286E-2</v>
      </c>
      <c r="G19" s="282">
        <f t="shared" si="1"/>
        <v>20930.218273069782</v>
      </c>
      <c r="H19" s="282">
        <f>G19*'Ciepło założenia'!C4</f>
        <v>5797.6704616403304</v>
      </c>
      <c r="I19" s="287">
        <v>0</v>
      </c>
      <c r="J19" s="288">
        <v>0</v>
      </c>
    </row>
    <row r="20" spans="5:10" ht="15.75" thickBot="1">
      <c r="E20" s="65" t="s">
        <v>3</v>
      </c>
      <c r="F20" s="100"/>
      <c r="G20" s="65">
        <f>SUM(G14:G19)</f>
        <v>271988.40714148839</v>
      </c>
      <c r="H20" s="65">
        <f>SUM(H14:H19)</f>
        <v>75340.788778192291</v>
      </c>
      <c r="I20" s="58"/>
      <c r="J20" s="65">
        <f>SUM(J14:J18)</f>
        <v>20618.422835188005</v>
      </c>
    </row>
    <row r="21" spans="5:10" ht="18.75">
      <c r="E21" s="129"/>
      <c r="F21" s="9"/>
      <c r="G21" s="9"/>
      <c r="H21" s="9"/>
      <c r="I21" s="9"/>
      <c r="J21" s="9"/>
    </row>
    <row r="25" spans="5:10" ht="24.75" customHeight="1"/>
    <row r="26" spans="5:10" ht="24.75" customHeight="1"/>
  </sheetData>
  <mergeCells count="2">
    <mergeCell ref="B4:C4"/>
    <mergeCell ref="B13:C1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L26"/>
  <sheetViews>
    <sheetView showGridLines="0" view="pageBreakPreview" topLeftCell="A31" zoomScale="90" zoomScaleNormal="100" zoomScaleSheetLayoutView="90" workbookViewId="0">
      <selection activeCell="C5" sqref="C5"/>
    </sheetView>
  </sheetViews>
  <sheetFormatPr defaultRowHeight="15"/>
  <cols>
    <col min="1" max="1" width="2.5" style="6" customWidth="1"/>
    <col min="2" max="2" width="31.625" style="6" customWidth="1"/>
    <col min="3" max="3" width="17.5" style="6" customWidth="1"/>
    <col min="4" max="4" width="2.5" style="6" customWidth="1"/>
    <col min="5" max="5" width="23.5" style="6" customWidth="1"/>
    <col min="6" max="6" width="14.375" style="6" customWidth="1"/>
    <col min="7" max="8" width="18.625" style="6" customWidth="1"/>
    <col min="9" max="9" width="14.625" style="6" customWidth="1"/>
    <col min="10" max="10" width="16.25" style="6" customWidth="1"/>
    <col min="11" max="11" width="6.2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>
      <c r="K1" s="6"/>
    </row>
    <row r="2" spans="2:12" s="9" customFormat="1" ht="19.5" thickBot="1">
      <c r="B2" s="10" t="s">
        <v>42</v>
      </c>
      <c r="C2" s="11"/>
      <c r="D2" s="11"/>
      <c r="E2" s="11"/>
      <c r="F2" s="11"/>
      <c r="G2" s="11"/>
      <c r="H2" s="11"/>
      <c r="I2" s="11"/>
      <c r="J2" s="12"/>
      <c r="K2" s="6"/>
    </row>
    <row r="3" spans="2:12" ht="15.75" thickBot="1"/>
    <row r="4" spans="2:12" ht="45.75" thickBot="1">
      <c r="B4" s="874" t="s">
        <v>45</v>
      </c>
      <c r="C4" s="875"/>
      <c r="E4" s="63">
        <v>2014</v>
      </c>
      <c r="F4" s="26" t="s">
        <v>43</v>
      </c>
      <c r="G4" s="38" t="s">
        <v>51</v>
      </c>
      <c r="H4" s="38" t="s">
        <v>215</v>
      </c>
      <c r="I4" s="38" t="s">
        <v>367</v>
      </c>
      <c r="J4" s="64" t="s">
        <v>8</v>
      </c>
    </row>
    <row r="5" spans="2:12">
      <c r="B5" s="59" t="s">
        <v>209</v>
      </c>
      <c r="C5" s="67">
        <f>'Ciepło założenia'!C37</f>
        <v>0.11086757547772412</v>
      </c>
      <c r="E5" s="55" t="s">
        <v>209</v>
      </c>
      <c r="F5" s="67">
        <f>$C$5</f>
        <v>0.11086757547772412</v>
      </c>
      <c r="G5" s="278">
        <f>F5*$C$14</f>
        <v>28079</v>
      </c>
      <c r="H5" s="68">
        <f>G5*'Ciepło założenia'!C4</f>
        <v>7777.8830000000007</v>
      </c>
      <c r="I5" s="135">
        <f>Wskaźniki!C13</f>
        <v>0.09</v>
      </c>
      <c r="J5" s="283">
        <f>G5*I5</f>
        <v>2527.11</v>
      </c>
    </row>
    <row r="6" spans="2:12">
      <c r="B6" s="60" t="s">
        <v>2</v>
      </c>
      <c r="C6" s="69">
        <f>'Ciepło założenia'!C34</f>
        <v>0.36349169882346577</v>
      </c>
      <c r="E6" s="56" t="s">
        <v>2</v>
      </c>
      <c r="F6" s="130">
        <f>$C$6</f>
        <v>0.36349169882346577</v>
      </c>
      <c r="G6" s="279">
        <f t="shared" ref="G6:G10" si="0">F6*$C$14</f>
        <v>92060.13</v>
      </c>
      <c r="H6" s="131">
        <f>G6*'Ciepło założenia'!C4</f>
        <v>25500.656010000002</v>
      </c>
      <c r="I6" s="136">
        <f>Wskaźniki!C12</f>
        <v>5.5820000000000002E-2</v>
      </c>
      <c r="J6" s="280">
        <f>G6*I6</f>
        <v>5138.7964566000001</v>
      </c>
    </row>
    <row r="7" spans="2:12">
      <c r="B7" s="60" t="s">
        <v>91</v>
      </c>
      <c r="C7" s="69">
        <f>'Ciepło założenia'!C32</f>
        <v>0.40081113149105047</v>
      </c>
      <c r="E7" s="57" t="s">
        <v>91</v>
      </c>
      <c r="F7" s="130">
        <f>$C$7</f>
        <v>0.40081113149105047</v>
      </c>
      <c r="G7" s="279">
        <f t="shared" si="0"/>
        <v>101511.87768508993</v>
      </c>
      <c r="H7" s="131">
        <f>G7*'Ciepło założenia'!C4</f>
        <v>28118.790118769914</v>
      </c>
      <c r="I7" s="137">
        <f>Wskaźniki!C8</f>
        <v>9.4729999999999995E-2</v>
      </c>
      <c r="J7" s="280">
        <f>G7*I7</f>
        <v>9616.2201731085679</v>
      </c>
    </row>
    <row r="8" spans="2:12">
      <c r="B8" s="60" t="s">
        <v>50</v>
      </c>
      <c r="C8" s="69">
        <f>'Ciepło założenia'!C35</f>
        <v>2.6118272222361859E-2</v>
      </c>
      <c r="E8" s="56" t="s">
        <v>50</v>
      </c>
      <c r="F8" s="130">
        <f>$C$8</f>
        <v>2.6118272222361859E-2</v>
      </c>
      <c r="G8" s="279">
        <f t="shared" si="0"/>
        <v>6614.8733078324676</v>
      </c>
      <c r="H8" s="131">
        <f>G8*'Ciepło założenia'!C4</f>
        <v>1832.3199062695937</v>
      </c>
      <c r="I8" s="136">
        <v>0.22600000000000001</v>
      </c>
      <c r="J8" s="280">
        <f>G8*I8</f>
        <v>1494.9613675701378</v>
      </c>
    </row>
    <row r="9" spans="2:12">
      <c r="B9" s="133" t="s">
        <v>44</v>
      </c>
      <c r="C9" s="134">
        <f>'Ciepło założenia'!C33</f>
        <v>2.17587103169826E-2</v>
      </c>
      <c r="E9" s="56" t="s">
        <v>44</v>
      </c>
      <c r="F9" s="130">
        <f>$C$9</f>
        <v>2.17587103169826E-2</v>
      </c>
      <c r="G9" s="279">
        <f t="shared" si="0"/>
        <v>5510.7440057017493</v>
      </c>
      <c r="H9" s="131">
        <f>G9*'Ciepło założenia'!C4</f>
        <v>1526.4760895793847</v>
      </c>
      <c r="I9" s="136">
        <f>Wskaźniki!C9</f>
        <v>7.6590000000000005E-2</v>
      </c>
      <c r="J9" s="280">
        <f>G9*I9</f>
        <v>422.06788339669703</v>
      </c>
    </row>
    <row r="10" spans="2:12" ht="15.75" thickBot="1">
      <c r="B10" s="61" t="s">
        <v>92</v>
      </c>
      <c r="C10" s="70">
        <f>'Ciepło założenia'!C36</f>
        <v>7.6952611668415286E-2</v>
      </c>
      <c r="E10" s="281" t="s">
        <v>92</v>
      </c>
      <c r="F10" s="70">
        <f>$C$10</f>
        <v>7.6952611668415286E-2</v>
      </c>
      <c r="G10" s="284">
        <f t="shared" si="0"/>
        <v>19489.488912577315</v>
      </c>
      <c r="H10" s="282">
        <f>G10*'Ciepło założenia'!C4</f>
        <v>5398.5884287839172</v>
      </c>
      <c r="I10" s="287">
        <v>0</v>
      </c>
      <c r="J10" s="288">
        <v>0</v>
      </c>
    </row>
    <row r="11" spans="2:12" ht="15.75" thickBot="1">
      <c r="B11" s="62"/>
      <c r="C11" s="66">
        <f>SUM(C5:C10)</f>
        <v>1.0000000000000002</v>
      </c>
      <c r="E11" s="65" t="s">
        <v>3</v>
      </c>
      <c r="F11" s="100"/>
      <c r="G11" s="65">
        <f>C14</f>
        <v>253266.11391120145</v>
      </c>
      <c r="H11" s="65">
        <f>SUM(H5:H10)</f>
        <v>70154.713553402806</v>
      </c>
      <c r="I11" s="58"/>
      <c r="J11" s="65">
        <f>SUM(J5:J9)</f>
        <v>19199.1558806754</v>
      </c>
      <c r="L11" s="13"/>
    </row>
    <row r="12" spans="2:12" ht="15.75" thickBot="1">
      <c r="G12" s="13"/>
    </row>
    <row r="13" spans="2:12" ht="44.25" customHeight="1">
      <c r="B13" s="876" t="s">
        <v>46</v>
      </c>
      <c r="C13" s="877"/>
      <c r="E13" s="63" t="s">
        <v>594</v>
      </c>
      <c r="F13" s="26" t="s">
        <v>43</v>
      </c>
      <c r="G13" s="38" t="s">
        <v>51</v>
      </c>
      <c r="H13" s="38" t="str">
        <f>H4</f>
        <v>Potrzeby cieplne zaspokajane z danego rodzaju paliwa [MWh]</v>
      </c>
      <c r="I13" s="38" t="str">
        <f>I4</f>
        <v>wskaźnik emisji [Mg CO2/GJ]</v>
      </c>
      <c r="J13" s="64" t="s">
        <v>8</v>
      </c>
    </row>
    <row r="14" spans="2:12" ht="30">
      <c r="B14" s="587" t="s">
        <v>86</v>
      </c>
      <c r="C14" s="588">
        <f>'Ciepło założenia'!D38</f>
        <v>253266.11391120145</v>
      </c>
      <c r="E14" s="56" t="str">
        <f>E5</f>
        <v>ciepło sieciowe</v>
      </c>
      <c r="F14" s="130">
        <f>$C$5</f>
        <v>0.11086757547772412</v>
      </c>
      <c r="G14" s="131">
        <f>F14*$C$15</f>
        <v>31623.384526211845</v>
      </c>
      <c r="H14" s="131">
        <f>G14*'Ciepło założenia'!C4</f>
        <v>8759.6775137606819</v>
      </c>
      <c r="I14" s="136">
        <f>I5</f>
        <v>0.09</v>
      </c>
      <c r="J14" s="280">
        <f>G14*I14</f>
        <v>2846.104607359066</v>
      </c>
    </row>
    <row r="15" spans="2:12" ht="30">
      <c r="B15" s="585" t="s">
        <v>596</v>
      </c>
      <c r="C15" s="586">
        <f>C14/Charakterystyka_2024!L67*Charakterystyka_2024!AI67</f>
        <v>285235.64612960909</v>
      </c>
      <c r="E15" s="56" t="str">
        <f>B6</f>
        <v>gaz</v>
      </c>
      <c r="F15" s="130">
        <f>$C$6</f>
        <v>0.36349169882346577</v>
      </c>
      <c r="G15" s="131">
        <f t="shared" ref="G15:G19" si="1">F15*$C$15</f>
        <v>103680.78957666052</v>
      </c>
      <c r="H15" s="131">
        <f>G15*'Ciepło założenia'!C4</f>
        <v>28719.578712734969</v>
      </c>
      <c r="I15" s="136">
        <f>I6</f>
        <v>5.5820000000000002E-2</v>
      </c>
      <c r="J15" s="280">
        <f>G15*I15</f>
        <v>5787.4616741691907</v>
      </c>
    </row>
    <row r="16" spans="2:12" ht="30.75" thickBot="1">
      <c r="B16" s="589" t="s">
        <v>590</v>
      </c>
      <c r="C16" s="590">
        <f>C14/Charakterystyka_2024!L67</f>
        <v>0.6796244094049243</v>
      </c>
      <c r="E16" s="57" t="s">
        <v>91</v>
      </c>
      <c r="F16" s="130">
        <f>$C$7</f>
        <v>0.40081113149105047</v>
      </c>
      <c r="G16" s="131">
        <f t="shared" si="1"/>
        <v>114325.62206678948</v>
      </c>
      <c r="H16" s="131">
        <f>G16*'Ciepło założenia'!C4</f>
        <v>31668.197312500688</v>
      </c>
      <c r="I16" s="136">
        <f>I7</f>
        <v>9.4729999999999995E-2</v>
      </c>
      <c r="J16" s="280">
        <f>G16*I16</f>
        <v>10830.066178386967</v>
      </c>
    </row>
    <row r="17" spans="5:10" ht="23.25" customHeight="1">
      <c r="E17" s="56" t="str">
        <f>B8</f>
        <v>en. elektryczna</v>
      </c>
      <c r="F17" s="130">
        <f>$C$8</f>
        <v>2.6118272222361859E-2</v>
      </c>
      <c r="G17" s="131">
        <f t="shared" si="1"/>
        <v>7449.8622531344063</v>
      </c>
      <c r="H17" s="131">
        <f>G17*'Ciepło założenia'!C4</f>
        <v>2063.6118441182307</v>
      </c>
      <c r="I17" s="136">
        <f>I8</f>
        <v>0.22600000000000001</v>
      </c>
      <c r="J17" s="280">
        <f>G17*I17</f>
        <v>1683.6688692083758</v>
      </c>
    </row>
    <row r="18" spans="5:10" ht="33" customHeight="1">
      <c r="E18" s="56" t="s">
        <v>44</v>
      </c>
      <c r="F18" s="130">
        <f>$C$9</f>
        <v>2.17587103169826E-2</v>
      </c>
      <c r="G18" s="131">
        <f t="shared" si="1"/>
        <v>6206.3597962115236</v>
      </c>
      <c r="H18" s="131">
        <f>G18*'Ciepło założenia'!C4</f>
        <v>1719.1616635505923</v>
      </c>
      <c r="I18" s="136">
        <f>I9</f>
        <v>7.6590000000000005E-2</v>
      </c>
      <c r="J18" s="280">
        <f>G18*I18</f>
        <v>475.3450967918406</v>
      </c>
    </row>
    <row r="19" spans="5:10" ht="33" customHeight="1" thickBot="1">
      <c r="E19" s="281" t="s">
        <v>92</v>
      </c>
      <c r="F19" s="70">
        <f>$C$10</f>
        <v>7.6952611668415286E-2</v>
      </c>
      <c r="G19" s="282">
        <f t="shared" si="1"/>
        <v>21949.627910601328</v>
      </c>
      <c r="H19" s="282">
        <f>G19*'Ciepło założenia'!C4</f>
        <v>6080.0469312365685</v>
      </c>
      <c r="I19" s="287">
        <v>0</v>
      </c>
      <c r="J19" s="288">
        <v>0</v>
      </c>
    </row>
    <row r="20" spans="5:10" ht="15.75" thickBot="1">
      <c r="E20" s="65" t="s">
        <v>3</v>
      </c>
      <c r="F20" s="100"/>
      <c r="G20" s="65">
        <f>SUM(G14:G19)</f>
        <v>285235.64612960909</v>
      </c>
      <c r="H20" s="65">
        <f>SUM(H14:H19)</f>
        <v>79010.273977901743</v>
      </c>
      <c r="I20" s="58"/>
      <c r="J20" s="65">
        <f>SUM(J14:J18)</f>
        <v>21622.646425915438</v>
      </c>
    </row>
    <row r="21" spans="5:10" ht="18.75">
      <c r="E21" s="129"/>
      <c r="F21" s="9"/>
      <c r="G21" s="9"/>
      <c r="H21" s="9"/>
      <c r="I21" s="9"/>
      <c r="J21" s="9"/>
    </row>
    <row r="25" spans="5:10" ht="24.75" customHeight="1"/>
    <row r="26" spans="5:10" ht="24.75" customHeight="1"/>
  </sheetData>
  <mergeCells count="2">
    <mergeCell ref="B4:C4"/>
    <mergeCell ref="B13:C1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O100"/>
  <sheetViews>
    <sheetView showGridLines="0" view="pageBreakPreview" zoomScale="70" zoomScaleNormal="70" zoomScaleSheetLayoutView="70" workbookViewId="0">
      <selection activeCell="C4" sqref="C4:C5"/>
    </sheetView>
  </sheetViews>
  <sheetFormatPr defaultRowHeight="14.25"/>
  <cols>
    <col min="1" max="1" width="2.125" customWidth="1"/>
    <col min="2" max="2" width="4" customWidth="1"/>
    <col min="3" max="3" width="21" customWidth="1"/>
    <col min="4" max="4" width="20" customWidth="1"/>
    <col min="5" max="5" width="10.625" customWidth="1"/>
    <col min="6" max="6" width="10.125" customWidth="1"/>
    <col min="15" max="15" width="31.125" customWidth="1"/>
    <col min="17" max="17" width="7.625" customWidth="1"/>
    <col min="18" max="18" width="12.75" customWidth="1"/>
  </cols>
  <sheetData>
    <row r="1" spans="2:15" ht="15" thickBot="1"/>
    <row r="2" spans="2:15" ht="19.5" thickBot="1">
      <c r="B2" s="10" t="s">
        <v>102</v>
      </c>
      <c r="C2" s="11"/>
      <c r="D2" s="11"/>
      <c r="E2" s="11"/>
      <c r="F2" s="11"/>
      <c r="G2" s="11"/>
      <c r="H2" s="11"/>
      <c r="I2" s="11"/>
      <c r="J2" s="11"/>
      <c r="K2" s="12"/>
      <c r="L2" s="10"/>
      <c r="M2" s="11"/>
      <c r="N2" s="11"/>
      <c r="O2" s="11"/>
    </row>
    <row r="3" spans="2:15" ht="30" customHeight="1" thickBot="1">
      <c r="B3" s="777" t="s">
        <v>622</v>
      </c>
    </row>
    <row r="4" spans="2:15">
      <c r="B4" s="883" t="s">
        <v>103</v>
      </c>
      <c r="C4" s="885" t="s">
        <v>104</v>
      </c>
      <c r="D4" s="887" t="s">
        <v>105</v>
      </c>
      <c r="E4" s="878" t="s">
        <v>106</v>
      </c>
      <c r="F4" s="878"/>
      <c r="G4" s="878"/>
      <c r="H4" s="889" t="s">
        <v>107</v>
      </c>
      <c r="I4" s="890"/>
      <c r="J4" s="890"/>
      <c r="K4" s="890"/>
      <c r="L4" s="891"/>
      <c r="M4" s="878" t="s">
        <v>109</v>
      </c>
      <c r="N4" s="878"/>
      <c r="O4" s="879" t="s">
        <v>100</v>
      </c>
    </row>
    <row r="5" spans="2:15" ht="39" thickBot="1">
      <c r="B5" s="884"/>
      <c r="C5" s="886"/>
      <c r="D5" s="888"/>
      <c r="E5" s="101" t="s">
        <v>110</v>
      </c>
      <c r="F5" s="101" t="s">
        <v>111</v>
      </c>
      <c r="G5" s="101" t="s">
        <v>97</v>
      </c>
      <c r="H5" s="102" t="s">
        <v>112</v>
      </c>
      <c r="I5" s="102" t="s">
        <v>503</v>
      </c>
      <c r="J5" s="102" t="s">
        <v>554</v>
      </c>
      <c r="K5" s="102" t="s">
        <v>113</v>
      </c>
      <c r="L5" s="102" t="s">
        <v>114</v>
      </c>
      <c r="M5" s="101" t="s">
        <v>98</v>
      </c>
      <c r="N5" s="101" t="s">
        <v>99</v>
      </c>
      <c r="O5" s="880"/>
    </row>
    <row r="6" spans="2:15">
      <c r="B6" s="103">
        <v>1</v>
      </c>
      <c r="C6" s="104" t="s">
        <v>117</v>
      </c>
      <c r="D6" s="105" t="s">
        <v>93</v>
      </c>
      <c r="E6" s="104">
        <v>110</v>
      </c>
      <c r="F6" s="104">
        <v>2</v>
      </c>
      <c r="G6" s="104">
        <v>37</v>
      </c>
      <c r="H6" s="105"/>
      <c r="I6" s="105"/>
      <c r="J6" s="105">
        <v>2461</v>
      </c>
      <c r="K6" s="105"/>
      <c r="L6" s="105"/>
      <c r="M6" s="104"/>
      <c r="N6" s="104" t="s">
        <v>115</v>
      </c>
      <c r="O6" s="106" t="s">
        <v>116</v>
      </c>
    </row>
    <row r="7" spans="2:15">
      <c r="B7" s="107">
        <v>2</v>
      </c>
      <c r="C7" s="108" t="s">
        <v>122</v>
      </c>
      <c r="D7" s="109" t="s">
        <v>93</v>
      </c>
      <c r="E7" s="108">
        <v>150</v>
      </c>
      <c r="F7" s="108">
        <v>2</v>
      </c>
      <c r="G7" s="108">
        <v>40</v>
      </c>
      <c r="H7" s="109"/>
      <c r="I7" s="109"/>
      <c r="J7" s="109">
        <v>2000</v>
      </c>
      <c r="K7" s="109"/>
      <c r="L7" s="109"/>
      <c r="M7" s="108"/>
      <c r="N7" s="108" t="s">
        <v>115</v>
      </c>
      <c r="O7" s="110" t="s">
        <v>96</v>
      </c>
    </row>
    <row r="8" spans="2:15">
      <c r="B8" s="107">
        <v>3</v>
      </c>
      <c r="C8" s="108" t="s">
        <v>123</v>
      </c>
      <c r="D8" s="109" t="s">
        <v>93</v>
      </c>
      <c r="E8" s="108">
        <v>100</v>
      </c>
      <c r="F8" s="108">
        <v>1</v>
      </c>
      <c r="G8" s="108">
        <v>40</v>
      </c>
      <c r="H8" s="109"/>
      <c r="I8" s="109"/>
      <c r="J8" s="109">
        <v>1500</v>
      </c>
      <c r="K8" s="109"/>
      <c r="L8" s="109">
        <v>4</v>
      </c>
      <c r="M8" s="108"/>
      <c r="N8" s="108" t="s">
        <v>115</v>
      </c>
      <c r="O8" s="110" t="s">
        <v>101</v>
      </c>
    </row>
    <row r="9" spans="2:15">
      <c r="B9" s="107">
        <v>4</v>
      </c>
      <c r="C9" s="108" t="s">
        <v>124</v>
      </c>
      <c r="D9" s="109" t="s">
        <v>93</v>
      </c>
      <c r="E9" s="108">
        <v>38</v>
      </c>
      <c r="F9" s="108">
        <v>1</v>
      </c>
      <c r="G9" s="108">
        <v>1990</v>
      </c>
      <c r="H9" s="109"/>
      <c r="I9" s="109"/>
      <c r="J9" s="109"/>
      <c r="K9" s="109">
        <v>70</v>
      </c>
      <c r="L9" s="109"/>
      <c r="M9" s="108" t="s">
        <v>115</v>
      </c>
      <c r="N9" s="108"/>
      <c r="O9" s="110" t="s">
        <v>125</v>
      </c>
    </row>
    <row r="10" spans="2:15">
      <c r="B10" s="107">
        <v>5</v>
      </c>
      <c r="C10" s="108" t="s">
        <v>128</v>
      </c>
      <c r="D10" s="109" t="s">
        <v>93</v>
      </c>
      <c r="E10" s="108">
        <v>140</v>
      </c>
      <c r="F10" s="108">
        <v>3</v>
      </c>
      <c r="G10" s="108">
        <v>20</v>
      </c>
      <c r="H10" s="109"/>
      <c r="I10" s="109"/>
      <c r="J10" s="109"/>
      <c r="K10" s="109"/>
      <c r="L10" s="109">
        <v>20</v>
      </c>
      <c r="M10" s="108" t="s">
        <v>115</v>
      </c>
      <c r="N10" s="108"/>
      <c r="O10" s="110" t="s">
        <v>96</v>
      </c>
    </row>
    <row r="11" spans="2:15">
      <c r="B11" s="107">
        <v>6</v>
      </c>
      <c r="C11" s="108" t="s">
        <v>129</v>
      </c>
      <c r="D11" s="109" t="s">
        <v>93</v>
      </c>
      <c r="E11" s="108">
        <v>140</v>
      </c>
      <c r="F11" s="108">
        <v>4</v>
      </c>
      <c r="G11" s="108">
        <v>42</v>
      </c>
      <c r="H11" s="109"/>
      <c r="I11" s="109"/>
      <c r="J11" s="109">
        <v>1700</v>
      </c>
      <c r="K11" s="109"/>
      <c r="L11" s="109"/>
      <c r="M11" s="108" t="s">
        <v>115</v>
      </c>
      <c r="N11" s="108"/>
      <c r="O11" s="110" t="s">
        <v>96</v>
      </c>
    </row>
    <row r="12" spans="2:15">
      <c r="B12" s="107">
        <v>7</v>
      </c>
      <c r="C12" s="108" t="s">
        <v>130</v>
      </c>
      <c r="D12" s="109" t="s">
        <v>93</v>
      </c>
      <c r="E12" s="108">
        <v>250</v>
      </c>
      <c r="F12" s="108">
        <v>2</v>
      </c>
      <c r="G12" s="108">
        <v>50</v>
      </c>
      <c r="H12" s="109">
        <v>5</v>
      </c>
      <c r="I12" s="109">
        <f>1*Wskaźniki!C10</f>
        <v>3.5700000000000003E-2</v>
      </c>
      <c r="J12" s="109"/>
      <c r="K12" s="109"/>
      <c r="L12" s="109"/>
      <c r="M12" s="108" t="s">
        <v>115</v>
      </c>
      <c r="N12" s="108"/>
      <c r="O12" s="110" t="s">
        <v>131</v>
      </c>
    </row>
    <row r="13" spans="2:15">
      <c r="B13" s="107">
        <v>8</v>
      </c>
      <c r="C13" s="108" t="s">
        <v>132</v>
      </c>
      <c r="D13" s="109" t="s">
        <v>93</v>
      </c>
      <c r="E13" s="108">
        <v>207</v>
      </c>
      <c r="F13" s="108">
        <v>3</v>
      </c>
      <c r="G13" s="108">
        <v>38</v>
      </c>
      <c r="H13" s="109"/>
      <c r="I13" s="109"/>
      <c r="J13" s="109">
        <v>2500</v>
      </c>
      <c r="K13" s="109"/>
      <c r="L13" s="109">
        <v>7</v>
      </c>
      <c r="M13" s="108"/>
      <c r="N13" s="108" t="s">
        <v>115</v>
      </c>
      <c r="O13" s="110" t="s">
        <v>125</v>
      </c>
    </row>
    <row r="14" spans="2:15">
      <c r="B14" s="107">
        <v>13</v>
      </c>
      <c r="C14" s="108" t="s">
        <v>133</v>
      </c>
      <c r="D14" s="109" t="s">
        <v>95</v>
      </c>
      <c r="E14" s="108">
        <v>60</v>
      </c>
      <c r="F14" s="108">
        <v>3</v>
      </c>
      <c r="G14" s="108">
        <v>100</v>
      </c>
      <c r="H14" s="109">
        <v>2</v>
      </c>
      <c r="I14" s="109"/>
      <c r="J14" s="109"/>
      <c r="K14" s="109"/>
      <c r="L14" s="109" t="s">
        <v>115</v>
      </c>
      <c r="M14" s="108"/>
      <c r="N14" s="108" t="s">
        <v>115</v>
      </c>
      <c r="O14" s="110" t="s">
        <v>134</v>
      </c>
    </row>
    <row r="15" spans="2:15">
      <c r="B15" s="107">
        <v>18</v>
      </c>
      <c r="C15" s="108" t="s">
        <v>135</v>
      </c>
      <c r="D15" s="109" t="s">
        <v>93</v>
      </c>
      <c r="E15" s="108">
        <v>190</v>
      </c>
      <c r="F15" s="108">
        <v>5</v>
      </c>
      <c r="G15" s="108">
        <v>25</v>
      </c>
      <c r="H15" s="109"/>
      <c r="I15" s="109"/>
      <c r="J15" s="109">
        <v>2100</v>
      </c>
      <c r="K15" s="109"/>
      <c r="L15" s="109"/>
      <c r="M15" s="108"/>
      <c r="N15" s="108" t="s">
        <v>115</v>
      </c>
      <c r="O15" s="110" t="s">
        <v>94</v>
      </c>
    </row>
    <row r="16" spans="2:15">
      <c r="B16" s="107">
        <v>19</v>
      </c>
      <c r="C16" s="108" t="s">
        <v>136</v>
      </c>
      <c r="D16" s="109" t="s">
        <v>93</v>
      </c>
      <c r="E16" s="108">
        <v>100</v>
      </c>
      <c r="F16" s="108">
        <v>5</v>
      </c>
      <c r="G16" s="108">
        <v>45</v>
      </c>
      <c r="H16" s="109">
        <v>8</v>
      </c>
      <c r="I16" s="109"/>
      <c r="J16" s="109"/>
      <c r="K16" s="109"/>
      <c r="L16" s="109"/>
      <c r="M16" s="108" t="s">
        <v>115</v>
      </c>
      <c r="N16" s="108"/>
      <c r="O16" s="110" t="s">
        <v>101</v>
      </c>
    </row>
    <row r="17" spans="2:15">
      <c r="B17" s="107">
        <v>20</v>
      </c>
      <c r="C17" s="108" t="s">
        <v>137</v>
      </c>
      <c r="D17" s="109" t="s">
        <v>95</v>
      </c>
      <c r="E17" s="108">
        <v>54</v>
      </c>
      <c r="F17" s="108">
        <v>7</v>
      </c>
      <c r="G17" s="108">
        <v>80</v>
      </c>
      <c r="H17" s="109">
        <v>8</v>
      </c>
      <c r="I17" s="109"/>
      <c r="J17" s="109"/>
      <c r="K17" s="109"/>
      <c r="L17" s="109">
        <v>8</v>
      </c>
      <c r="M17" s="108" t="s">
        <v>115</v>
      </c>
      <c r="N17" s="108"/>
      <c r="O17" s="110" t="s">
        <v>101</v>
      </c>
    </row>
    <row r="18" spans="2:15">
      <c r="B18" s="107">
        <v>21</v>
      </c>
      <c r="C18" s="108" t="s">
        <v>138</v>
      </c>
      <c r="D18" s="109" t="s">
        <v>93</v>
      </c>
      <c r="E18" s="108">
        <v>120</v>
      </c>
      <c r="F18" s="108">
        <v>3</v>
      </c>
      <c r="G18" s="108">
        <v>55</v>
      </c>
      <c r="H18" s="109"/>
      <c r="I18" s="109"/>
      <c r="J18" s="109">
        <v>2230</v>
      </c>
      <c r="K18" s="109"/>
      <c r="L18" s="109"/>
      <c r="M18" s="108"/>
      <c r="N18" s="108" t="s">
        <v>115</v>
      </c>
      <c r="O18" s="110" t="s">
        <v>139</v>
      </c>
    </row>
    <row r="19" spans="2:15">
      <c r="B19" s="107">
        <v>26</v>
      </c>
      <c r="C19" s="108"/>
      <c r="D19" s="109" t="s">
        <v>93</v>
      </c>
      <c r="E19" s="108">
        <v>98</v>
      </c>
      <c r="F19" s="108">
        <v>4</v>
      </c>
      <c r="G19" s="108">
        <v>25</v>
      </c>
      <c r="H19" s="109">
        <v>3</v>
      </c>
      <c r="I19" s="109"/>
      <c r="J19" s="109"/>
      <c r="K19" s="109"/>
      <c r="L19" s="109">
        <v>6</v>
      </c>
      <c r="M19" s="108"/>
      <c r="N19" s="108"/>
      <c r="O19" s="110" t="s">
        <v>101</v>
      </c>
    </row>
    <row r="20" spans="2:15">
      <c r="B20" s="107">
        <v>27</v>
      </c>
      <c r="C20" s="108" t="s">
        <v>141</v>
      </c>
      <c r="D20" s="109" t="s">
        <v>93</v>
      </c>
      <c r="E20" s="108">
        <v>70</v>
      </c>
      <c r="F20" s="108">
        <v>4</v>
      </c>
      <c r="G20" s="108">
        <v>20</v>
      </c>
      <c r="H20" s="109">
        <v>2</v>
      </c>
      <c r="I20" s="109"/>
      <c r="J20" s="109"/>
      <c r="K20" s="109"/>
      <c r="L20" s="109">
        <v>3</v>
      </c>
      <c r="M20" s="108"/>
      <c r="N20" s="108" t="s">
        <v>115</v>
      </c>
      <c r="O20" s="110" t="s">
        <v>101</v>
      </c>
    </row>
    <row r="21" spans="2:15">
      <c r="B21" s="107">
        <v>36</v>
      </c>
      <c r="C21" s="108" t="s">
        <v>143</v>
      </c>
      <c r="D21" s="109" t="s">
        <v>95</v>
      </c>
      <c r="E21" s="108">
        <v>81</v>
      </c>
      <c r="F21" s="108">
        <v>5</v>
      </c>
      <c r="G21" s="108">
        <v>106</v>
      </c>
      <c r="H21" s="109">
        <v>3</v>
      </c>
      <c r="I21" s="109"/>
      <c r="J21" s="109"/>
      <c r="K21" s="109"/>
      <c r="L21" s="109"/>
      <c r="M21" s="108" t="s">
        <v>115</v>
      </c>
      <c r="N21" s="108"/>
      <c r="O21" s="110"/>
    </row>
    <row r="22" spans="2:15">
      <c r="B22" s="107">
        <v>41</v>
      </c>
      <c r="C22" s="108" t="s">
        <v>144</v>
      </c>
      <c r="D22" s="109" t="s">
        <v>93</v>
      </c>
      <c r="E22" s="108">
        <v>165</v>
      </c>
      <c r="F22" s="108">
        <v>5</v>
      </c>
      <c r="G22" s="108">
        <v>1</v>
      </c>
      <c r="H22" s="109">
        <v>5</v>
      </c>
      <c r="I22" s="109"/>
      <c r="J22" s="109"/>
      <c r="K22" s="109"/>
      <c r="L22" s="109"/>
      <c r="M22" s="108"/>
      <c r="N22" s="108" t="s">
        <v>115</v>
      </c>
      <c r="O22" s="110" t="s">
        <v>94</v>
      </c>
    </row>
    <row r="23" spans="2:15">
      <c r="B23" s="107">
        <v>42</v>
      </c>
      <c r="C23" s="108" t="s">
        <v>145</v>
      </c>
      <c r="D23" s="109" t="s">
        <v>93</v>
      </c>
      <c r="E23" s="108">
        <v>180</v>
      </c>
      <c r="F23" s="108">
        <v>4</v>
      </c>
      <c r="G23" s="108">
        <v>17</v>
      </c>
      <c r="H23" s="109">
        <v>3</v>
      </c>
      <c r="I23" s="109"/>
      <c r="J23" s="109"/>
      <c r="K23" s="109"/>
      <c r="L23" s="109"/>
      <c r="M23" s="108" t="s">
        <v>115</v>
      </c>
      <c r="N23" s="108"/>
      <c r="O23" s="110" t="s">
        <v>134</v>
      </c>
    </row>
    <row r="24" spans="2:15">
      <c r="B24" s="107">
        <v>47</v>
      </c>
      <c r="C24" s="108"/>
      <c r="D24" s="109" t="s">
        <v>93</v>
      </c>
      <c r="E24" s="108">
        <v>133</v>
      </c>
      <c r="F24" s="108">
        <v>3</v>
      </c>
      <c r="G24" s="108">
        <v>30</v>
      </c>
      <c r="H24" s="109">
        <v>5</v>
      </c>
      <c r="I24" s="109"/>
      <c r="J24" s="109"/>
      <c r="K24" s="109"/>
      <c r="L24" s="109"/>
      <c r="M24" s="108"/>
      <c r="N24" s="108" t="s">
        <v>115</v>
      </c>
      <c r="O24" s="110" t="s">
        <v>101</v>
      </c>
    </row>
    <row r="25" spans="2:15">
      <c r="B25" s="107">
        <v>49</v>
      </c>
      <c r="C25" s="108" t="s">
        <v>146</v>
      </c>
      <c r="D25" s="109" t="s">
        <v>93</v>
      </c>
      <c r="E25" s="108">
        <v>100</v>
      </c>
      <c r="F25" s="108">
        <v>5</v>
      </c>
      <c r="G25" s="108">
        <v>30</v>
      </c>
      <c r="H25" s="109">
        <v>4</v>
      </c>
      <c r="I25" s="109"/>
      <c r="J25" s="109"/>
      <c r="K25" s="109"/>
      <c r="L25" s="109"/>
      <c r="M25" s="108"/>
      <c r="N25" s="108" t="s">
        <v>115</v>
      </c>
      <c r="O25" s="110" t="s">
        <v>101</v>
      </c>
    </row>
    <row r="26" spans="2:15">
      <c r="B26" s="107">
        <v>54</v>
      </c>
      <c r="C26" s="108" t="s">
        <v>149</v>
      </c>
      <c r="D26" s="109" t="s">
        <v>93</v>
      </c>
      <c r="E26" s="108">
        <v>350</v>
      </c>
      <c r="F26" s="108">
        <v>9</v>
      </c>
      <c r="G26" s="108">
        <v>30</v>
      </c>
      <c r="H26" s="109">
        <v>5</v>
      </c>
      <c r="I26" s="109"/>
      <c r="J26" s="109"/>
      <c r="K26" s="109"/>
      <c r="L26" s="109"/>
      <c r="M26" s="108"/>
      <c r="N26" s="108" t="s">
        <v>115</v>
      </c>
      <c r="O26" s="110" t="s">
        <v>150</v>
      </c>
    </row>
    <row r="27" spans="2:15">
      <c r="B27" s="107">
        <v>57</v>
      </c>
      <c r="C27" s="108"/>
      <c r="D27" s="109" t="s">
        <v>93</v>
      </c>
      <c r="E27" s="108">
        <v>120</v>
      </c>
      <c r="F27" s="108">
        <v>4</v>
      </c>
      <c r="G27" s="108">
        <v>30</v>
      </c>
      <c r="H27" s="109">
        <v>2</v>
      </c>
      <c r="I27" s="109"/>
      <c r="J27" s="109"/>
      <c r="K27" s="109"/>
      <c r="L27" s="109"/>
      <c r="M27" s="108"/>
      <c r="N27" s="108" t="s">
        <v>115</v>
      </c>
      <c r="O27" s="110" t="s">
        <v>101</v>
      </c>
    </row>
    <row r="28" spans="2:15">
      <c r="B28" s="107">
        <v>64</v>
      </c>
      <c r="C28" s="108"/>
      <c r="D28" s="109" t="s">
        <v>93</v>
      </c>
      <c r="E28" s="108">
        <v>147</v>
      </c>
      <c r="F28" s="108">
        <v>4</v>
      </c>
      <c r="G28" s="108">
        <v>7</v>
      </c>
      <c r="H28" s="109">
        <v>6</v>
      </c>
      <c r="I28" s="109"/>
      <c r="J28" s="109"/>
      <c r="K28" s="109"/>
      <c r="L28" s="109"/>
      <c r="M28" s="108"/>
      <c r="N28" s="108" t="s">
        <v>115</v>
      </c>
      <c r="O28" s="110" t="s">
        <v>96</v>
      </c>
    </row>
    <row r="29" spans="2:15">
      <c r="B29" s="107">
        <v>65</v>
      </c>
      <c r="C29" s="108" t="s">
        <v>151</v>
      </c>
      <c r="D29" s="109" t="s">
        <v>93</v>
      </c>
      <c r="E29" s="108">
        <v>135</v>
      </c>
      <c r="F29" s="108">
        <v>4</v>
      </c>
      <c r="G29" s="108">
        <v>6</v>
      </c>
      <c r="H29" s="109">
        <v>4</v>
      </c>
      <c r="I29" s="109"/>
      <c r="J29" s="109"/>
      <c r="K29" s="109"/>
      <c r="L29" s="109"/>
      <c r="M29" s="108" t="s">
        <v>115</v>
      </c>
      <c r="N29" s="108"/>
      <c r="O29" s="110" t="s">
        <v>2</v>
      </c>
    </row>
    <row r="30" spans="2:15">
      <c r="B30" s="111">
        <v>70</v>
      </c>
      <c r="C30" s="108" t="s">
        <v>152</v>
      </c>
      <c r="D30" s="112" t="s">
        <v>93</v>
      </c>
      <c r="E30" s="113">
        <v>120</v>
      </c>
      <c r="F30" s="113">
        <v>4</v>
      </c>
      <c r="G30" s="113">
        <v>60</v>
      </c>
      <c r="H30" s="112">
        <v>4</v>
      </c>
      <c r="I30" s="112"/>
      <c r="J30" s="112"/>
      <c r="K30" s="112"/>
      <c r="L30" s="112" t="s">
        <v>115</v>
      </c>
      <c r="M30" s="113"/>
      <c r="N30" s="113" t="s">
        <v>115</v>
      </c>
      <c r="O30" s="114" t="s">
        <v>101</v>
      </c>
    </row>
    <row r="31" spans="2:15">
      <c r="B31" s="111">
        <v>74</v>
      </c>
      <c r="C31" s="113"/>
      <c r="D31" s="112" t="s">
        <v>93</v>
      </c>
      <c r="E31" s="113">
        <v>160</v>
      </c>
      <c r="F31" s="113">
        <v>4</v>
      </c>
      <c r="G31" s="113">
        <v>4</v>
      </c>
      <c r="H31" s="112"/>
      <c r="I31" s="112"/>
      <c r="J31" s="112">
        <v>1500</v>
      </c>
      <c r="K31" s="112"/>
      <c r="L31" s="112"/>
      <c r="M31" s="113"/>
      <c r="N31" s="113" t="s">
        <v>115</v>
      </c>
      <c r="O31" s="114" t="s">
        <v>94</v>
      </c>
    </row>
    <row r="32" spans="2:15">
      <c r="B32" s="111">
        <v>75</v>
      </c>
      <c r="C32" s="113" t="s">
        <v>153</v>
      </c>
      <c r="D32" s="112" t="s">
        <v>95</v>
      </c>
      <c r="E32" s="113">
        <v>534.54999999999995</v>
      </c>
      <c r="F32" s="113">
        <v>15</v>
      </c>
      <c r="G32" s="113">
        <v>28</v>
      </c>
      <c r="H32" s="112"/>
      <c r="I32" s="112"/>
      <c r="J32" s="112">
        <v>88576</v>
      </c>
      <c r="K32" s="112"/>
      <c r="L32" s="112"/>
      <c r="M32" s="113"/>
      <c r="N32" s="113" t="s">
        <v>115</v>
      </c>
      <c r="O32" s="114" t="s">
        <v>125</v>
      </c>
    </row>
    <row r="33" spans="2:15">
      <c r="B33" s="111">
        <v>76</v>
      </c>
      <c r="C33" s="113" t="s">
        <v>142</v>
      </c>
      <c r="D33" s="112" t="s">
        <v>93</v>
      </c>
      <c r="E33" s="113">
        <v>60</v>
      </c>
      <c r="F33" s="113">
        <v>5</v>
      </c>
      <c r="G33" s="113">
        <v>80</v>
      </c>
      <c r="H33" s="112"/>
      <c r="I33" s="112"/>
      <c r="J33" s="112"/>
      <c r="K33" s="112"/>
      <c r="L33" s="112">
        <v>5</v>
      </c>
      <c r="M33" s="113"/>
      <c r="N33" s="113" t="s">
        <v>115</v>
      </c>
      <c r="O33" s="114"/>
    </row>
    <row r="34" spans="2:15">
      <c r="B34" s="111">
        <v>77</v>
      </c>
      <c r="C34" s="113"/>
      <c r="D34" s="112" t="s">
        <v>93</v>
      </c>
      <c r="E34" s="113">
        <v>60</v>
      </c>
      <c r="F34" s="113">
        <v>6</v>
      </c>
      <c r="G34" s="113">
        <v>30</v>
      </c>
      <c r="H34" s="112">
        <v>5</v>
      </c>
      <c r="I34" s="112"/>
      <c r="J34" s="112"/>
      <c r="K34" s="112"/>
      <c r="L34" s="112"/>
      <c r="M34" s="113"/>
      <c r="N34" s="113" t="s">
        <v>115</v>
      </c>
      <c r="O34" s="114"/>
    </row>
    <row r="35" spans="2:15">
      <c r="B35" s="111">
        <v>79</v>
      </c>
      <c r="C35" s="113" t="s">
        <v>154</v>
      </c>
      <c r="D35" s="112" t="s">
        <v>95</v>
      </c>
      <c r="E35" s="113">
        <v>62</v>
      </c>
      <c r="F35" s="113">
        <v>4</v>
      </c>
      <c r="G35" s="113">
        <v>100</v>
      </c>
      <c r="H35" s="112">
        <v>3</v>
      </c>
      <c r="I35" s="112"/>
      <c r="J35" s="112"/>
      <c r="K35" s="112"/>
      <c r="L35" s="112"/>
      <c r="M35" s="113"/>
      <c r="N35" s="113" t="s">
        <v>115</v>
      </c>
      <c r="O35" s="114" t="s">
        <v>101</v>
      </c>
    </row>
    <row r="36" spans="2:15">
      <c r="B36" s="111">
        <v>81</v>
      </c>
      <c r="C36" s="113" t="s">
        <v>155</v>
      </c>
      <c r="D36" s="112" t="s">
        <v>93</v>
      </c>
      <c r="E36" s="113">
        <v>240</v>
      </c>
      <c r="F36" s="113">
        <v>10</v>
      </c>
      <c r="G36" s="113">
        <v>5</v>
      </c>
      <c r="H36" s="112">
        <v>7</v>
      </c>
      <c r="I36" s="112"/>
      <c r="J36" s="112"/>
      <c r="K36" s="112"/>
      <c r="L36" s="112"/>
      <c r="M36" s="113" t="s">
        <v>115</v>
      </c>
      <c r="N36" s="113"/>
      <c r="O36" s="114" t="s">
        <v>94</v>
      </c>
    </row>
    <row r="37" spans="2:15">
      <c r="B37" s="111">
        <v>82</v>
      </c>
      <c r="C37" s="113"/>
      <c r="D37" s="112" t="s">
        <v>93</v>
      </c>
      <c r="E37" s="113">
        <v>200</v>
      </c>
      <c r="F37" s="113">
        <v>5</v>
      </c>
      <c r="G37" s="113">
        <v>19</v>
      </c>
      <c r="H37" s="112"/>
      <c r="I37" s="112"/>
      <c r="J37" s="112">
        <v>3200</v>
      </c>
      <c r="K37" s="112"/>
      <c r="L37" s="112"/>
      <c r="M37" s="113"/>
      <c r="N37" s="113" t="s">
        <v>115</v>
      </c>
      <c r="O37" s="114" t="s">
        <v>101</v>
      </c>
    </row>
    <row r="38" spans="2:15">
      <c r="B38" s="111">
        <v>84</v>
      </c>
      <c r="C38" s="113" t="s">
        <v>156</v>
      </c>
      <c r="D38" s="112" t="s">
        <v>93</v>
      </c>
      <c r="E38" s="113">
        <v>135</v>
      </c>
      <c r="F38" s="113">
        <v>3</v>
      </c>
      <c r="G38" s="113">
        <v>5</v>
      </c>
      <c r="H38" s="112">
        <v>3.5</v>
      </c>
      <c r="I38" s="112"/>
      <c r="J38" s="112"/>
      <c r="K38" s="112"/>
      <c r="L38" s="112"/>
      <c r="M38" s="113"/>
      <c r="N38" s="113" t="s">
        <v>115</v>
      </c>
      <c r="O38" s="114" t="s">
        <v>101</v>
      </c>
    </row>
    <row r="39" spans="2:15">
      <c r="B39" s="111">
        <v>88</v>
      </c>
      <c r="C39" s="113" t="s">
        <v>157</v>
      </c>
      <c r="D39" s="112" t="s">
        <v>93</v>
      </c>
      <c r="E39" s="113">
        <v>150</v>
      </c>
      <c r="F39" s="113">
        <v>5</v>
      </c>
      <c r="G39" s="113">
        <v>55</v>
      </c>
      <c r="H39" s="112"/>
      <c r="I39" s="112"/>
      <c r="J39" s="112">
        <v>1000</v>
      </c>
      <c r="K39" s="112"/>
      <c r="L39" s="112"/>
      <c r="M39" s="113" t="s">
        <v>115</v>
      </c>
      <c r="N39" s="113"/>
      <c r="O39" s="114" t="s">
        <v>134</v>
      </c>
    </row>
    <row r="40" spans="2:15">
      <c r="B40" s="111">
        <v>89</v>
      </c>
      <c r="C40" s="113" t="s">
        <v>158</v>
      </c>
      <c r="D40" s="112" t="s">
        <v>93</v>
      </c>
      <c r="E40" s="113">
        <v>120</v>
      </c>
      <c r="F40" s="113">
        <v>3</v>
      </c>
      <c r="G40" s="113">
        <v>40</v>
      </c>
      <c r="H40" s="112"/>
      <c r="I40" s="112"/>
      <c r="J40" s="112">
        <v>2600</v>
      </c>
      <c r="K40" s="112"/>
      <c r="L40" s="112"/>
      <c r="M40" s="113"/>
      <c r="N40" s="113" t="s">
        <v>115</v>
      </c>
      <c r="O40" s="114" t="s">
        <v>101</v>
      </c>
    </row>
    <row r="41" spans="2:15">
      <c r="B41" s="111">
        <v>90</v>
      </c>
      <c r="C41" s="113" t="s">
        <v>159</v>
      </c>
      <c r="D41" s="112" t="s">
        <v>93</v>
      </c>
      <c r="E41" s="113">
        <v>98</v>
      </c>
      <c r="F41" s="113">
        <v>4</v>
      </c>
      <c r="G41" s="113">
        <v>12</v>
      </c>
      <c r="H41" s="112"/>
      <c r="I41" s="112"/>
      <c r="J41" s="112">
        <v>1500</v>
      </c>
      <c r="K41" s="112"/>
      <c r="L41" s="112"/>
      <c r="M41" s="113" t="s">
        <v>115</v>
      </c>
      <c r="N41" s="113"/>
      <c r="O41" s="114" t="s">
        <v>96</v>
      </c>
    </row>
    <row r="42" spans="2:15">
      <c r="B42" s="111">
        <v>91</v>
      </c>
      <c r="C42" s="113"/>
      <c r="D42" s="112" t="s">
        <v>93</v>
      </c>
      <c r="E42" s="113">
        <v>200</v>
      </c>
      <c r="F42" s="113">
        <v>4</v>
      </c>
      <c r="G42" s="113">
        <v>4</v>
      </c>
      <c r="H42" s="112">
        <v>3</v>
      </c>
      <c r="I42" s="112"/>
      <c r="J42" s="112"/>
      <c r="K42" s="112"/>
      <c r="L42" s="112"/>
      <c r="M42" s="113"/>
      <c r="N42" s="113" t="s">
        <v>115</v>
      </c>
      <c r="O42" s="110" t="s">
        <v>134</v>
      </c>
    </row>
    <row r="43" spans="2:15">
      <c r="B43" s="111">
        <v>98</v>
      </c>
      <c r="C43" s="113"/>
      <c r="D43" s="112" t="s">
        <v>93</v>
      </c>
      <c r="E43" s="113">
        <v>222</v>
      </c>
      <c r="F43" s="113">
        <v>6</v>
      </c>
      <c r="G43" s="113">
        <v>20</v>
      </c>
      <c r="H43" s="112">
        <v>5</v>
      </c>
      <c r="I43" s="112"/>
      <c r="J43" s="112"/>
      <c r="K43" s="112"/>
      <c r="L43" s="112"/>
      <c r="M43" s="113"/>
      <c r="N43" s="113" t="s">
        <v>115</v>
      </c>
      <c r="O43" s="114" t="s">
        <v>94</v>
      </c>
    </row>
    <row r="44" spans="2:15">
      <c r="B44" s="111">
        <v>99</v>
      </c>
      <c r="C44" s="113"/>
      <c r="D44" s="112" t="s">
        <v>93</v>
      </c>
      <c r="E44" s="113">
        <v>106</v>
      </c>
      <c r="F44" s="113">
        <v>4</v>
      </c>
      <c r="G44" s="113">
        <v>45</v>
      </c>
      <c r="H44" s="112"/>
      <c r="I44" s="112"/>
      <c r="J44" s="112">
        <v>4000</v>
      </c>
      <c r="K44" s="112"/>
      <c r="L44" s="112"/>
      <c r="M44" s="113"/>
      <c r="N44" s="113" t="s">
        <v>115</v>
      </c>
      <c r="O44" s="114" t="s">
        <v>101</v>
      </c>
    </row>
    <row r="45" spans="2:15">
      <c r="B45" s="111">
        <v>111</v>
      </c>
      <c r="C45" s="113" t="s">
        <v>160</v>
      </c>
      <c r="D45" s="112" t="s">
        <v>93</v>
      </c>
      <c r="E45" s="113">
        <v>74</v>
      </c>
      <c r="F45" s="113">
        <v>2</v>
      </c>
      <c r="G45" s="113">
        <v>80</v>
      </c>
      <c r="H45" s="112"/>
      <c r="I45" s="112"/>
      <c r="J45" s="112">
        <v>12500</v>
      </c>
      <c r="K45" s="112"/>
      <c r="L45" s="112"/>
      <c r="M45" s="113"/>
      <c r="N45" s="113" t="s">
        <v>115</v>
      </c>
      <c r="O45" s="114" t="s">
        <v>101</v>
      </c>
    </row>
    <row r="46" spans="2:15">
      <c r="B46" s="111">
        <v>112</v>
      </c>
      <c r="C46" s="113" t="s">
        <v>161</v>
      </c>
      <c r="D46" s="112" t="s">
        <v>93</v>
      </c>
      <c r="E46" s="113">
        <v>120</v>
      </c>
      <c r="F46" s="113">
        <v>3</v>
      </c>
      <c r="G46" s="113">
        <v>45</v>
      </c>
      <c r="H46" s="112"/>
      <c r="I46" s="112"/>
      <c r="J46" s="112">
        <v>2230</v>
      </c>
      <c r="K46" s="112"/>
      <c r="L46" s="112"/>
      <c r="M46" s="113" t="s">
        <v>115</v>
      </c>
      <c r="N46" s="113"/>
      <c r="O46" s="114" t="s">
        <v>94</v>
      </c>
    </row>
    <row r="47" spans="2:15">
      <c r="B47" s="111">
        <v>113</v>
      </c>
      <c r="C47" s="113" t="s">
        <v>162</v>
      </c>
      <c r="D47" s="112" t="s">
        <v>93</v>
      </c>
      <c r="E47" s="113">
        <v>108</v>
      </c>
      <c r="F47" s="113">
        <v>2</v>
      </c>
      <c r="G47" s="113">
        <v>43</v>
      </c>
      <c r="H47" s="112"/>
      <c r="I47" s="112"/>
      <c r="J47" s="112">
        <v>1500</v>
      </c>
      <c r="K47" s="112"/>
      <c r="L47" s="112"/>
      <c r="M47" s="113"/>
      <c r="N47" s="113" t="s">
        <v>115</v>
      </c>
      <c r="O47" s="114" t="s">
        <v>101</v>
      </c>
    </row>
    <row r="48" spans="2:15">
      <c r="B48" s="111">
        <v>114</v>
      </c>
      <c r="C48" s="113" t="s">
        <v>163</v>
      </c>
      <c r="D48" s="112" t="s">
        <v>93</v>
      </c>
      <c r="E48" s="113">
        <v>200</v>
      </c>
      <c r="F48" s="113">
        <v>5</v>
      </c>
      <c r="G48" s="113">
        <v>20</v>
      </c>
      <c r="H48" s="112">
        <v>6</v>
      </c>
      <c r="I48" s="112"/>
      <c r="J48" s="112"/>
      <c r="K48" s="112"/>
      <c r="L48" s="112" t="s">
        <v>115</v>
      </c>
      <c r="M48" s="113"/>
      <c r="N48" s="113" t="s">
        <v>115</v>
      </c>
      <c r="O48" s="114" t="s">
        <v>101</v>
      </c>
    </row>
    <row r="49" spans="2:15">
      <c r="B49" s="111">
        <v>118</v>
      </c>
      <c r="C49" s="113" t="s">
        <v>164</v>
      </c>
      <c r="D49" s="112" t="s">
        <v>93</v>
      </c>
      <c r="E49" s="113">
        <v>110</v>
      </c>
      <c r="F49" s="113">
        <v>2</v>
      </c>
      <c r="G49" s="113">
        <v>55</v>
      </c>
      <c r="H49" s="112"/>
      <c r="I49" s="112"/>
      <c r="J49" s="112">
        <v>3200</v>
      </c>
      <c r="K49" s="112"/>
      <c r="L49" s="112"/>
      <c r="M49" s="113"/>
      <c r="N49" s="113" t="s">
        <v>115</v>
      </c>
      <c r="O49" s="114" t="s">
        <v>101</v>
      </c>
    </row>
    <row r="50" spans="2:15">
      <c r="B50" s="111">
        <v>119</v>
      </c>
      <c r="C50" s="113" t="s">
        <v>165</v>
      </c>
      <c r="D50" s="112" t="s">
        <v>93</v>
      </c>
      <c r="E50" s="113">
        <v>125</v>
      </c>
      <c r="F50" s="113">
        <v>5</v>
      </c>
      <c r="G50" s="113">
        <v>36</v>
      </c>
      <c r="H50" s="112">
        <v>4</v>
      </c>
      <c r="I50" s="112"/>
      <c r="J50" s="112"/>
      <c r="K50" s="112"/>
      <c r="L50" s="112"/>
      <c r="M50" s="113"/>
      <c r="N50" s="113" t="s">
        <v>115</v>
      </c>
      <c r="O50" s="114"/>
    </row>
    <row r="51" spans="2:15">
      <c r="B51" s="111">
        <v>120</v>
      </c>
      <c r="C51" s="113" t="s">
        <v>166</v>
      </c>
      <c r="D51" s="112" t="s">
        <v>95</v>
      </c>
      <c r="E51" s="113">
        <v>120</v>
      </c>
      <c r="F51" s="113">
        <v>7</v>
      </c>
      <c r="G51" s="113">
        <v>30</v>
      </c>
      <c r="H51" s="112">
        <v>2.5</v>
      </c>
      <c r="I51" s="112"/>
      <c r="J51" s="112"/>
      <c r="K51" s="112"/>
      <c r="L51" s="112" t="s">
        <v>115</v>
      </c>
      <c r="M51" s="113"/>
      <c r="N51" s="113" t="s">
        <v>115</v>
      </c>
      <c r="O51" s="114" t="s">
        <v>134</v>
      </c>
    </row>
    <row r="52" spans="2:15">
      <c r="B52" s="111">
        <v>121</v>
      </c>
      <c r="C52" s="113" t="s">
        <v>167</v>
      </c>
      <c r="D52" s="112" t="s">
        <v>93</v>
      </c>
      <c r="E52" s="113">
        <v>90</v>
      </c>
      <c r="F52" s="113">
        <v>2</v>
      </c>
      <c r="G52" s="113">
        <v>46</v>
      </c>
      <c r="H52" s="112">
        <v>3</v>
      </c>
      <c r="I52" s="112"/>
      <c r="J52" s="112">
        <v>656</v>
      </c>
      <c r="K52" s="112"/>
      <c r="L52" s="112"/>
      <c r="M52" s="113"/>
      <c r="N52" s="113" t="s">
        <v>115</v>
      </c>
      <c r="O52" s="114"/>
    </row>
    <row r="53" spans="2:15">
      <c r="B53" s="111">
        <v>122</v>
      </c>
      <c r="C53" s="113" t="s">
        <v>168</v>
      </c>
      <c r="D53" s="112" t="s">
        <v>93</v>
      </c>
      <c r="E53" s="113">
        <v>95</v>
      </c>
      <c r="F53" s="113">
        <v>2</v>
      </c>
      <c r="G53" s="113">
        <v>50</v>
      </c>
      <c r="H53" s="112">
        <v>1.5</v>
      </c>
      <c r="I53" s="112"/>
      <c r="J53" s="112">
        <v>1000</v>
      </c>
      <c r="K53" s="112"/>
      <c r="L53" s="112"/>
      <c r="M53" s="113"/>
      <c r="N53" s="113" t="s">
        <v>115</v>
      </c>
      <c r="O53" s="114" t="s">
        <v>101</v>
      </c>
    </row>
    <row r="54" spans="2:15">
      <c r="B54" s="111">
        <v>123</v>
      </c>
      <c r="C54" s="113" t="s">
        <v>169</v>
      </c>
      <c r="D54" s="112" t="s">
        <v>93</v>
      </c>
      <c r="E54" s="113">
        <v>81</v>
      </c>
      <c r="F54" s="113">
        <v>2</v>
      </c>
      <c r="G54" s="113">
        <v>60</v>
      </c>
      <c r="H54" s="112"/>
      <c r="I54" s="112"/>
      <c r="J54" s="112">
        <v>1800</v>
      </c>
      <c r="K54" s="112"/>
      <c r="L54" s="112"/>
      <c r="M54" s="113"/>
      <c r="N54" s="113" t="s">
        <v>115</v>
      </c>
      <c r="O54" s="114" t="s">
        <v>101</v>
      </c>
    </row>
    <row r="55" spans="2:15">
      <c r="B55" s="111">
        <v>126</v>
      </c>
      <c r="C55" s="113" t="s">
        <v>170</v>
      </c>
      <c r="D55" s="112" t="s">
        <v>93</v>
      </c>
      <c r="E55" s="113">
        <v>160</v>
      </c>
      <c r="F55" s="113">
        <v>2</v>
      </c>
      <c r="G55" s="113">
        <v>40</v>
      </c>
      <c r="H55" s="112"/>
      <c r="I55" s="112"/>
      <c r="J55" s="112">
        <v>2400</v>
      </c>
      <c r="K55" s="112"/>
      <c r="L55" s="112"/>
      <c r="M55" s="113"/>
      <c r="N55" s="113" t="s">
        <v>115</v>
      </c>
      <c r="O55" s="114" t="s">
        <v>101</v>
      </c>
    </row>
    <row r="56" spans="2:15">
      <c r="B56" s="111">
        <v>127</v>
      </c>
      <c r="C56" s="113" t="s">
        <v>171</v>
      </c>
      <c r="D56" s="112" t="s">
        <v>93</v>
      </c>
      <c r="E56" s="113">
        <v>180</v>
      </c>
      <c r="F56" s="113">
        <v>2</v>
      </c>
      <c r="G56" s="113">
        <v>54</v>
      </c>
      <c r="H56" s="112"/>
      <c r="I56" s="112"/>
      <c r="J56" s="112">
        <v>2500</v>
      </c>
      <c r="K56" s="112">
        <v>3.8140000000000001</v>
      </c>
      <c r="L56" s="112">
        <v>4</v>
      </c>
      <c r="M56" s="113"/>
      <c r="N56" s="113" t="s">
        <v>115</v>
      </c>
      <c r="O56" s="114" t="s">
        <v>101</v>
      </c>
    </row>
    <row r="57" spans="2:15">
      <c r="B57" s="111">
        <v>128</v>
      </c>
      <c r="C57" s="113" t="s">
        <v>172</v>
      </c>
      <c r="D57" s="112" t="s">
        <v>93</v>
      </c>
      <c r="E57" s="113">
        <v>220</v>
      </c>
      <c r="F57" s="113">
        <v>3</v>
      </c>
      <c r="G57" s="113">
        <v>40</v>
      </c>
      <c r="H57" s="112">
        <v>1</v>
      </c>
      <c r="I57" s="112"/>
      <c r="J57" s="112">
        <v>7000</v>
      </c>
      <c r="K57" s="112"/>
      <c r="L57" s="112"/>
      <c r="M57" s="113"/>
      <c r="N57" s="113" t="s">
        <v>115</v>
      </c>
      <c r="O57" s="114" t="s">
        <v>125</v>
      </c>
    </row>
    <row r="58" spans="2:15">
      <c r="B58" s="111">
        <v>129</v>
      </c>
      <c r="C58" s="113" t="s">
        <v>173</v>
      </c>
      <c r="D58" s="112" t="s">
        <v>93</v>
      </c>
      <c r="E58" s="113">
        <v>60</v>
      </c>
      <c r="F58" s="113">
        <v>2</v>
      </c>
      <c r="G58" s="113">
        <v>100</v>
      </c>
      <c r="H58" s="112"/>
      <c r="I58" s="112"/>
      <c r="J58" s="112">
        <v>1500</v>
      </c>
      <c r="K58" s="112"/>
      <c r="L58" s="112"/>
      <c r="M58" s="113"/>
      <c r="N58" s="113" t="s">
        <v>115</v>
      </c>
      <c r="O58" s="114" t="s">
        <v>101</v>
      </c>
    </row>
    <row r="59" spans="2:15">
      <c r="B59" s="111">
        <v>131</v>
      </c>
      <c r="C59" s="113" t="s">
        <v>174</v>
      </c>
      <c r="D59" s="112" t="s">
        <v>93</v>
      </c>
      <c r="E59" s="113">
        <v>80</v>
      </c>
      <c r="F59" s="113">
        <v>2</v>
      </c>
      <c r="G59" s="113">
        <v>40</v>
      </c>
      <c r="H59" s="112">
        <v>4</v>
      </c>
      <c r="I59" s="112"/>
      <c r="J59" s="112"/>
      <c r="K59" s="112"/>
      <c r="L59" s="112"/>
      <c r="M59" s="113" t="s">
        <v>115</v>
      </c>
      <c r="N59" s="113"/>
      <c r="O59" s="114"/>
    </row>
    <row r="60" spans="2:15">
      <c r="B60" s="111">
        <v>132</v>
      </c>
      <c r="C60" s="113" t="s">
        <v>175</v>
      </c>
      <c r="D60" s="112" t="s">
        <v>93</v>
      </c>
      <c r="E60" s="113">
        <v>146</v>
      </c>
      <c r="F60" s="113">
        <v>3</v>
      </c>
      <c r="G60" s="113">
        <v>44</v>
      </c>
      <c r="H60" s="112">
        <v>5</v>
      </c>
      <c r="I60" s="112"/>
      <c r="J60" s="112"/>
      <c r="K60" s="112"/>
      <c r="L60" s="112"/>
      <c r="M60" s="113"/>
      <c r="N60" s="113" t="s">
        <v>115</v>
      </c>
      <c r="O60" s="114" t="s">
        <v>101</v>
      </c>
    </row>
    <row r="61" spans="2:15">
      <c r="B61" s="111">
        <v>133</v>
      </c>
      <c r="C61" s="113" t="s">
        <v>176</v>
      </c>
      <c r="D61" s="112" t="s">
        <v>93</v>
      </c>
      <c r="E61" s="113">
        <v>130</v>
      </c>
      <c r="F61" s="113">
        <v>2</v>
      </c>
      <c r="G61" s="113">
        <v>46</v>
      </c>
      <c r="H61" s="112"/>
      <c r="I61" s="112"/>
      <c r="J61" s="112">
        <v>1136</v>
      </c>
      <c r="K61" s="112"/>
      <c r="L61" s="112"/>
      <c r="M61" s="113"/>
      <c r="N61" s="113" t="s">
        <v>115</v>
      </c>
      <c r="O61" s="114" t="s">
        <v>101</v>
      </c>
    </row>
    <row r="62" spans="2:15">
      <c r="B62" s="111">
        <v>134</v>
      </c>
      <c r="C62" s="113" t="s">
        <v>177</v>
      </c>
      <c r="D62" s="112" t="s">
        <v>93</v>
      </c>
      <c r="E62" s="113">
        <v>130</v>
      </c>
      <c r="F62" s="113">
        <v>2</v>
      </c>
      <c r="G62" s="113">
        <v>50</v>
      </c>
      <c r="H62" s="112"/>
      <c r="I62" s="112"/>
      <c r="J62" s="112">
        <v>1560</v>
      </c>
      <c r="K62" s="112"/>
      <c r="L62" s="112"/>
      <c r="M62" s="113"/>
      <c r="N62" s="113" t="s">
        <v>115</v>
      </c>
      <c r="O62" s="114" t="s">
        <v>94</v>
      </c>
    </row>
    <row r="63" spans="2:15">
      <c r="B63" s="111">
        <v>135</v>
      </c>
      <c r="C63" s="113" t="s">
        <v>178</v>
      </c>
      <c r="D63" s="112" t="s">
        <v>93</v>
      </c>
      <c r="E63" s="113"/>
      <c r="F63" s="113">
        <v>5</v>
      </c>
      <c r="G63" s="113">
        <v>40</v>
      </c>
      <c r="H63" s="112"/>
      <c r="I63" s="112"/>
      <c r="J63" s="112">
        <v>10847</v>
      </c>
      <c r="K63" s="112"/>
      <c r="L63" s="112"/>
      <c r="M63" s="113"/>
      <c r="N63" s="113" t="s">
        <v>115</v>
      </c>
      <c r="O63" s="114"/>
    </row>
    <row r="64" spans="2:15">
      <c r="B64" s="111">
        <v>136</v>
      </c>
      <c r="C64" s="113" t="s">
        <v>179</v>
      </c>
      <c r="D64" s="112" t="s">
        <v>93</v>
      </c>
      <c r="E64" s="113">
        <v>130</v>
      </c>
      <c r="F64" s="113"/>
      <c r="G64" s="113">
        <v>100</v>
      </c>
      <c r="H64" s="112">
        <v>4</v>
      </c>
      <c r="I64" s="112"/>
      <c r="J64" s="112"/>
      <c r="K64" s="112"/>
      <c r="L64" s="112"/>
      <c r="M64" s="113"/>
      <c r="N64" s="113" t="s">
        <v>115</v>
      </c>
      <c r="O64" s="114" t="s">
        <v>94</v>
      </c>
    </row>
    <row r="65" spans="2:15">
      <c r="B65" s="111">
        <v>137</v>
      </c>
      <c r="C65" s="113" t="s">
        <v>132</v>
      </c>
      <c r="D65" s="112" t="s">
        <v>93</v>
      </c>
      <c r="E65" s="113">
        <v>110</v>
      </c>
      <c r="F65" s="113">
        <v>2</v>
      </c>
      <c r="G65" s="113">
        <v>30</v>
      </c>
      <c r="H65" s="112">
        <v>3</v>
      </c>
      <c r="I65" s="112"/>
      <c r="J65" s="112"/>
      <c r="K65" s="112"/>
      <c r="L65" s="112" t="s">
        <v>115</v>
      </c>
      <c r="M65" s="113"/>
      <c r="N65" s="113" t="s">
        <v>115</v>
      </c>
      <c r="O65" s="114"/>
    </row>
    <row r="66" spans="2:15">
      <c r="B66" s="111">
        <v>138</v>
      </c>
      <c r="C66" s="113" t="s">
        <v>180</v>
      </c>
      <c r="D66" s="112" t="s">
        <v>93</v>
      </c>
      <c r="E66" s="113">
        <v>121</v>
      </c>
      <c r="F66" s="113">
        <v>4</v>
      </c>
      <c r="G66" s="113">
        <v>36</v>
      </c>
      <c r="H66" s="112">
        <v>5</v>
      </c>
      <c r="I66" s="112"/>
      <c r="J66" s="112"/>
      <c r="K66" s="112"/>
      <c r="L66" s="112"/>
      <c r="M66" s="113"/>
      <c r="N66" s="113" t="s">
        <v>115</v>
      </c>
      <c r="O66" s="114" t="s">
        <v>101</v>
      </c>
    </row>
    <row r="67" spans="2:15">
      <c r="B67" s="111">
        <v>139</v>
      </c>
      <c r="C67" s="113"/>
      <c r="D67" s="112" t="s">
        <v>93</v>
      </c>
      <c r="E67" s="113">
        <v>180</v>
      </c>
      <c r="F67" s="113">
        <v>4</v>
      </c>
      <c r="G67" s="113">
        <v>30</v>
      </c>
      <c r="H67" s="112">
        <v>3</v>
      </c>
      <c r="I67" s="112"/>
      <c r="J67" s="112"/>
      <c r="K67" s="112"/>
      <c r="L67" s="112" t="s">
        <v>115</v>
      </c>
      <c r="M67" s="113" t="s">
        <v>115</v>
      </c>
      <c r="N67" s="113"/>
      <c r="O67" s="114" t="s">
        <v>131</v>
      </c>
    </row>
    <row r="68" spans="2:15">
      <c r="B68" s="111">
        <v>140</v>
      </c>
      <c r="C68" s="113" t="s">
        <v>181</v>
      </c>
      <c r="D68" s="112" t="s">
        <v>140</v>
      </c>
      <c r="E68" s="113">
        <v>140</v>
      </c>
      <c r="F68" s="113">
        <v>2</v>
      </c>
      <c r="G68" s="113">
        <v>22</v>
      </c>
      <c r="H68" s="112">
        <v>2.5</v>
      </c>
      <c r="I68" s="112"/>
      <c r="J68" s="112"/>
      <c r="K68" s="112"/>
      <c r="L68" s="112"/>
      <c r="M68" s="113"/>
      <c r="N68" s="113" t="s">
        <v>115</v>
      </c>
      <c r="O68" s="114" t="s">
        <v>101</v>
      </c>
    </row>
    <row r="69" spans="2:15">
      <c r="B69" s="111">
        <v>141</v>
      </c>
      <c r="C69" s="113" t="s">
        <v>182</v>
      </c>
      <c r="D69" s="112" t="s">
        <v>93</v>
      </c>
      <c r="E69" s="113">
        <v>150</v>
      </c>
      <c r="F69" s="113">
        <v>5</v>
      </c>
      <c r="G69" s="113">
        <v>40</v>
      </c>
      <c r="H69" s="112">
        <v>2</v>
      </c>
      <c r="I69" s="112"/>
      <c r="J69" s="112"/>
      <c r="K69" s="112"/>
      <c r="L69" s="112" t="s">
        <v>115</v>
      </c>
      <c r="M69" s="113"/>
      <c r="N69" s="113" t="s">
        <v>115</v>
      </c>
      <c r="O69" s="114" t="s">
        <v>96</v>
      </c>
    </row>
    <row r="70" spans="2:15">
      <c r="B70" s="111">
        <v>148</v>
      </c>
      <c r="C70" s="113" t="s">
        <v>183</v>
      </c>
      <c r="D70" s="112" t="s">
        <v>93</v>
      </c>
      <c r="E70" s="113">
        <v>75</v>
      </c>
      <c r="F70" s="113">
        <v>2</v>
      </c>
      <c r="G70" s="113">
        <v>69</v>
      </c>
      <c r="H70" s="112">
        <v>3</v>
      </c>
      <c r="I70" s="112"/>
      <c r="J70" s="112">
        <v>1519</v>
      </c>
      <c r="K70" s="112"/>
      <c r="L70" s="112"/>
      <c r="M70" s="113"/>
      <c r="N70" s="113" t="s">
        <v>115</v>
      </c>
      <c r="O70" s="114"/>
    </row>
    <row r="71" spans="2:15">
      <c r="B71" s="111">
        <v>149</v>
      </c>
      <c r="C71" s="113" t="s">
        <v>184</v>
      </c>
      <c r="D71" s="112" t="s">
        <v>93</v>
      </c>
      <c r="E71" s="113">
        <v>134</v>
      </c>
      <c r="F71" s="113">
        <v>2</v>
      </c>
      <c r="G71" s="113">
        <v>11</v>
      </c>
      <c r="H71" s="112"/>
      <c r="I71" s="112"/>
      <c r="J71" s="112">
        <v>700</v>
      </c>
      <c r="K71" s="112"/>
      <c r="L71" s="112">
        <v>10</v>
      </c>
      <c r="M71" s="113"/>
      <c r="N71" s="113" t="s">
        <v>115</v>
      </c>
      <c r="O71" s="114" t="s">
        <v>94</v>
      </c>
    </row>
    <row r="72" spans="2:15">
      <c r="B72" s="111">
        <v>150</v>
      </c>
      <c r="C72" s="113" t="s">
        <v>185</v>
      </c>
      <c r="D72" s="112" t="s">
        <v>93</v>
      </c>
      <c r="E72" s="113">
        <v>120</v>
      </c>
      <c r="F72" s="113">
        <v>1</v>
      </c>
      <c r="G72" s="113">
        <v>60</v>
      </c>
      <c r="H72" s="112"/>
      <c r="I72" s="112"/>
      <c r="J72" s="112">
        <v>3000</v>
      </c>
      <c r="K72" s="112"/>
      <c r="L72" s="112"/>
      <c r="M72" s="113"/>
      <c r="N72" s="113" t="s">
        <v>115</v>
      </c>
      <c r="O72" s="114"/>
    </row>
    <row r="73" spans="2:15">
      <c r="B73" s="111">
        <v>151</v>
      </c>
      <c r="C73" s="113" t="s">
        <v>186</v>
      </c>
      <c r="D73" s="112" t="s">
        <v>93</v>
      </c>
      <c r="E73" s="113">
        <v>80</v>
      </c>
      <c r="F73" s="113">
        <v>4</v>
      </c>
      <c r="G73" s="113">
        <v>50</v>
      </c>
      <c r="H73" s="112">
        <v>3</v>
      </c>
      <c r="I73" s="112"/>
      <c r="J73" s="112"/>
      <c r="K73" s="112"/>
      <c r="L73" s="112" t="s">
        <v>115</v>
      </c>
      <c r="M73" s="113" t="s">
        <v>115</v>
      </c>
      <c r="N73" s="113"/>
      <c r="O73" s="114"/>
    </row>
    <row r="74" spans="2:15">
      <c r="B74" s="111">
        <v>152</v>
      </c>
      <c r="C74" s="113" t="s">
        <v>187</v>
      </c>
      <c r="D74" s="112" t="s">
        <v>140</v>
      </c>
      <c r="E74" s="113">
        <v>100</v>
      </c>
      <c r="F74" s="113">
        <v>1</v>
      </c>
      <c r="G74" s="113">
        <v>60</v>
      </c>
      <c r="H74" s="112"/>
      <c r="I74" s="112">
        <f>1500*Wskaźniki!C10</f>
        <v>53.550000000000004</v>
      </c>
      <c r="J74" s="112"/>
      <c r="K74" s="112"/>
      <c r="L74" s="112"/>
      <c r="M74" s="113"/>
      <c r="N74" s="113" t="s">
        <v>115</v>
      </c>
      <c r="O74" s="114"/>
    </row>
    <row r="75" spans="2:15">
      <c r="B75" s="111">
        <v>155</v>
      </c>
      <c r="C75" s="113" t="s">
        <v>188</v>
      </c>
      <c r="D75" s="112" t="s">
        <v>93</v>
      </c>
      <c r="E75" s="113">
        <v>100</v>
      </c>
      <c r="F75" s="113">
        <v>3</v>
      </c>
      <c r="G75" s="113">
        <v>50</v>
      </c>
      <c r="H75" s="112"/>
      <c r="I75" s="112"/>
      <c r="J75" s="112">
        <v>1600</v>
      </c>
      <c r="K75" s="112"/>
      <c r="L75" s="112"/>
      <c r="M75" s="113"/>
      <c r="N75" s="113" t="s">
        <v>115</v>
      </c>
      <c r="O75" s="114"/>
    </row>
    <row r="76" spans="2:15">
      <c r="B76" s="111">
        <v>156</v>
      </c>
      <c r="C76" s="113" t="s">
        <v>132</v>
      </c>
      <c r="D76" s="112" t="s">
        <v>93</v>
      </c>
      <c r="E76" s="113">
        <v>170</v>
      </c>
      <c r="F76" s="113">
        <v>3</v>
      </c>
      <c r="G76" s="113">
        <v>43</v>
      </c>
      <c r="H76" s="112">
        <v>5</v>
      </c>
      <c r="I76" s="112"/>
      <c r="J76" s="112"/>
      <c r="K76" s="112"/>
      <c r="L76" s="112"/>
      <c r="M76" s="113" t="s">
        <v>115</v>
      </c>
      <c r="N76" s="113"/>
      <c r="O76" s="114" t="s">
        <v>189</v>
      </c>
    </row>
    <row r="77" spans="2:15">
      <c r="B77" s="111">
        <v>157</v>
      </c>
      <c r="C77" s="113" t="s">
        <v>132</v>
      </c>
      <c r="D77" s="112" t="s">
        <v>93</v>
      </c>
      <c r="E77" s="113">
        <v>110</v>
      </c>
      <c r="F77" s="113">
        <v>5</v>
      </c>
      <c r="G77" s="113">
        <v>40</v>
      </c>
      <c r="H77" s="112">
        <v>4</v>
      </c>
      <c r="I77" s="112"/>
      <c r="J77" s="112"/>
      <c r="K77" s="112"/>
      <c r="L77" s="112"/>
      <c r="M77" s="113" t="s">
        <v>115</v>
      </c>
      <c r="N77" s="113"/>
      <c r="O77" s="114" t="s">
        <v>101</v>
      </c>
    </row>
    <row r="78" spans="2:15">
      <c r="B78" s="111">
        <v>158</v>
      </c>
      <c r="C78" s="113" t="s">
        <v>190</v>
      </c>
      <c r="D78" s="112" t="s">
        <v>93</v>
      </c>
      <c r="E78" s="113">
        <v>65</v>
      </c>
      <c r="F78" s="113">
        <v>4</v>
      </c>
      <c r="G78" s="113">
        <v>45</v>
      </c>
      <c r="H78" s="112"/>
      <c r="I78" s="112">
        <f>1700*Wskaźniki!C10</f>
        <v>60.690000000000005</v>
      </c>
      <c r="J78" s="112"/>
      <c r="K78" s="112"/>
      <c r="L78" s="112"/>
      <c r="M78" s="113"/>
      <c r="N78" s="113" t="s">
        <v>115</v>
      </c>
      <c r="O78" s="114"/>
    </row>
    <row r="79" spans="2:15">
      <c r="B79" s="111">
        <v>159</v>
      </c>
      <c r="C79" s="113" t="s">
        <v>147</v>
      </c>
      <c r="D79" s="112" t="s">
        <v>93</v>
      </c>
      <c r="E79" s="113">
        <v>240</v>
      </c>
      <c r="F79" s="113">
        <v>5</v>
      </c>
      <c r="G79" s="113">
        <v>30</v>
      </c>
      <c r="H79" s="112">
        <v>8</v>
      </c>
      <c r="I79" s="112"/>
      <c r="J79" s="112"/>
      <c r="K79" s="112"/>
      <c r="L79" s="112"/>
      <c r="M79" s="113" t="s">
        <v>115</v>
      </c>
      <c r="N79" s="113"/>
      <c r="O79" s="114" t="s">
        <v>125</v>
      </c>
    </row>
    <row r="80" spans="2:15">
      <c r="B80" s="111">
        <v>160</v>
      </c>
      <c r="C80" s="113" t="s">
        <v>191</v>
      </c>
      <c r="D80" s="112" t="s">
        <v>93</v>
      </c>
      <c r="E80" s="113">
        <v>110</v>
      </c>
      <c r="F80" s="113">
        <v>2</v>
      </c>
      <c r="G80" s="113">
        <v>35</v>
      </c>
      <c r="H80" s="112">
        <v>5</v>
      </c>
      <c r="I80" s="112"/>
      <c r="J80" s="112"/>
      <c r="K80" s="112"/>
      <c r="L80" s="112"/>
      <c r="M80" s="113" t="s">
        <v>115</v>
      </c>
      <c r="N80" s="113"/>
      <c r="O80" s="114"/>
    </row>
    <row r="81" spans="2:15">
      <c r="B81" s="111">
        <v>161</v>
      </c>
      <c r="C81" s="113" t="s">
        <v>192</v>
      </c>
      <c r="D81" s="112" t="s">
        <v>93</v>
      </c>
      <c r="E81" s="113">
        <v>110</v>
      </c>
      <c r="F81" s="113">
        <v>2</v>
      </c>
      <c r="G81" s="113">
        <v>41</v>
      </c>
      <c r="H81" s="112"/>
      <c r="I81" s="112"/>
      <c r="J81" s="112">
        <v>6500</v>
      </c>
      <c r="K81" s="112"/>
      <c r="L81" s="112"/>
      <c r="M81" s="113"/>
      <c r="N81" s="113" t="s">
        <v>115</v>
      </c>
      <c r="O81" s="114"/>
    </row>
    <row r="82" spans="2:15">
      <c r="B82" s="111">
        <v>163</v>
      </c>
      <c r="C82" s="113" t="s">
        <v>193</v>
      </c>
      <c r="D82" s="112" t="s">
        <v>93</v>
      </c>
      <c r="E82" s="113">
        <v>156</v>
      </c>
      <c r="F82" s="113">
        <v>2</v>
      </c>
      <c r="G82" s="113">
        <v>7</v>
      </c>
      <c r="H82" s="112"/>
      <c r="I82" s="112"/>
      <c r="J82" s="112">
        <v>1000</v>
      </c>
      <c r="K82" s="112"/>
      <c r="L82" s="112">
        <v>3</v>
      </c>
      <c r="M82" s="113"/>
      <c r="N82" s="113" t="s">
        <v>115</v>
      </c>
      <c r="O82" s="114" t="s">
        <v>101</v>
      </c>
    </row>
    <row r="83" spans="2:15">
      <c r="B83" s="111">
        <v>165</v>
      </c>
      <c r="C83" s="113" t="s">
        <v>194</v>
      </c>
      <c r="D83" s="112" t="s">
        <v>93</v>
      </c>
      <c r="E83" s="113">
        <v>110</v>
      </c>
      <c r="F83" s="113">
        <v>2</v>
      </c>
      <c r="G83" s="113">
        <v>3</v>
      </c>
      <c r="H83" s="112"/>
      <c r="I83" s="112"/>
      <c r="J83" s="112">
        <v>600</v>
      </c>
      <c r="K83" s="112"/>
      <c r="L83" s="112"/>
      <c r="M83" s="113"/>
      <c r="N83" s="113" t="s">
        <v>115</v>
      </c>
      <c r="O83" s="114" t="s">
        <v>101</v>
      </c>
    </row>
    <row r="84" spans="2:15">
      <c r="B84" s="111">
        <v>166</v>
      </c>
      <c r="C84" s="113"/>
      <c r="D84" s="112" t="s">
        <v>95</v>
      </c>
      <c r="E84" s="113">
        <v>245</v>
      </c>
      <c r="F84" s="113">
        <v>7</v>
      </c>
      <c r="G84" s="113">
        <v>25</v>
      </c>
      <c r="H84" s="112"/>
      <c r="I84" s="112"/>
      <c r="J84" s="112">
        <v>10000</v>
      </c>
      <c r="K84" s="112"/>
      <c r="L84" s="112" t="s">
        <v>115</v>
      </c>
      <c r="M84" s="113"/>
      <c r="N84" s="113" t="s">
        <v>115</v>
      </c>
      <c r="O84" s="114" t="s">
        <v>101</v>
      </c>
    </row>
    <row r="85" spans="2:15">
      <c r="B85" s="111">
        <v>168</v>
      </c>
      <c r="C85" s="113" t="s">
        <v>195</v>
      </c>
      <c r="D85" s="112" t="s">
        <v>140</v>
      </c>
      <c r="E85" s="113">
        <v>220</v>
      </c>
      <c r="F85" s="113">
        <v>1</v>
      </c>
      <c r="G85" s="113">
        <v>40</v>
      </c>
      <c r="H85" s="112"/>
      <c r="I85" s="112"/>
      <c r="J85" s="112">
        <v>4500</v>
      </c>
      <c r="K85" s="112"/>
      <c r="L85" s="112"/>
      <c r="M85" s="113" t="s">
        <v>115</v>
      </c>
      <c r="N85" s="113"/>
      <c r="O85" s="114" t="s">
        <v>134</v>
      </c>
    </row>
    <row r="86" spans="2:15">
      <c r="B86" s="111">
        <v>171</v>
      </c>
      <c r="C86" s="113"/>
      <c r="D86" s="112" t="s">
        <v>93</v>
      </c>
      <c r="E86" s="113">
        <v>150</v>
      </c>
      <c r="F86" s="113">
        <v>2</v>
      </c>
      <c r="G86" s="113">
        <v>45</v>
      </c>
      <c r="H86" s="112"/>
      <c r="I86" s="112"/>
      <c r="J86" s="112">
        <v>2500</v>
      </c>
      <c r="K86" s="112"/>
      <c r="L86" s="112"/>
      <c r="M86" s="113"/>
      <c r="N86" s="113" t="s">
        <v>115</v>
      </c>
      <c r="O86" s="114" t="s">
        <v>101</v>
      </c>
    </row>
    <row r="87" spans="2:15">
      <c r="B87" s="111">
        <v>173</v>
      </c>
      <c r="C87" s="113" t="s">
        <v>196</v>
      </c>
      <c r="D87" s="112" t="s">
        <v>93</v>
      </c>
      <c r="E87" s="113">
        <v>120</v>
      </c>
      <c r="F87" s="113">
        <v>2</v>
      </c>
      <c r="G87" s="113">
        <v>40</v>
      </c>
      <c r="H87" s="112">
        <v>5</v>
      </c>
      <c r="I87" s="112"/>
      <c r="J87" s="112"/>
      <c r="K87" s="112"/>
      <c r="L87" s="112"/>
      <c r="M87" s="113" t="s">
        <v>115</v>
      </c>
      <c r="N87" s="113"/>
      <c r="O87" s="114" t="s">
        <v>101</v>
      </c>
    </row>
    <row r="88" spans="2:15">
      <c r="B88" s="111">
        <v>174</v>
      </c>
      <c r="C88" s="113" t="s">
        <v>197</v>
      </c>
      <c r="D88" s="112" t="s">
        <v>93</v>
      </c>
      <c r="E88" s="113">
        <v>252</v>
      </c>
      <c r="F88" s="113">
        <v>2</v>
      </c>
      <c r="G88" s="113">
        <v>45</v>
      </c>
      <c r="H88" s="112">
        <v>5</v>
      </c>
      <c r="I88" s="112"/>
      <c r="J88" s="112"/>
      <c r="K88" s="112"/>
      <c r="L88" s="112"/>
      <c r="M88" s="113" t="s">
        <v>115</v>
      </c>
      <c r="N88" s="113"/>
      <c r="O88" s="114" t="s">
        <v>101</v>
      </c>
    </row>
    <row r="89" spans="2:15">
      <c r="B89" s="111">
        <v>175</v>
      </c>
      <c r="C89" s="113" t="s">
        <v>198</v>
      </c>
      <c r="D89" s="112" t="s">
        <v>93</v>
      </c>
      <c r="E89" s="113">
        <v>84</v>
      </c>
      <c r="F89" s="113">
        <v>1</v>
      </c>
      <c r="G89" s="113">
        <v>50</v>
      </c>
      <c r="H89" s="112">
        <v>2</v>
      </c>
      <c r="I89" s="112"/>
      <c r="J89" s="112"/>
      <c r="K89" s="112"/>
      <c r="L89" s="112">
        <v>3</v>
      </c>
      <c r="M89" s="113"/>
      <c r="N89" s="113" t="s">
        <v>115</v>
      </c>
      <c r="O89" s="114" t="s">
        <v>101</v>
      </c>
    </row>
    <row r="90" spans="2:15">
      <c r="B90" s="111">
        <v>176</v>
      </c>
      <c r="C90" s="113" t="s">
        <v>199</v>
      </c>
      <c r="D90" s="112" t="s">
        <v>93</v>
      </c>
      <c r="E90" s="113">
        <v>110</v>
      </c>
      <c r="F90" s="113">
        <v>1</v>
      </c>
      <c r="G90" s="113">
        <v>50</v>
      </c>
      <c r="H90" s="112"/>
      <c r="I90" s="112">
        <f>3000*Wskaźniki!C10</f>
        <v>107.10000000000001</v>
      </c>
      <c r="J90" s="112"/>
      <c r="K90" s="112"/>
      <c r="L90" s="112"/>
      <c r="M90" s="113"/>
      <c r="N90" s="113" t="s">
        <v>115</v>
      </c>
      <c r="O90" s="114" t="s">
        <v>101</v>
      </c>
    </row>
    <row r="91" spans="2:15">
      <c r="B91" s="111">
        <v>177</v>
      </c>
      <c r="C91" s="113"/>
      <c r="D91" s="112" t="s">
        <v>93</v>
      </c>
      <c r="E91" s="113">
        <v>150</v>
      </c>
      <c r="F91" s="113">
        <v>1</v>
      </c>
      <c r="G91" s="113">
        <v>45</v>
      </c>
      <c r="H91" s="112"/>
      <c r="I91" s="112"/>
      <c r="J91" s="112">
        <v>1000</v>
      </c>
      <c r="K91" s="112"/>
      <c r="L91" s="112"/>
      <c r="M91" s="113"/>
      <c r="N91" s="113" t="s">
        <v>115</v>
      </c>
      <c r="O91" s="114" t="s">
        <v>101</v>
      </c>
    </row>
    <row r="92" spans="2:15">
      <c r="B92" s="111">
        <v>179</v>
      </c>
      <c r="C92" s="113" t="s">
        <v>144</v>
      </c>
      <c r="D92" s="112" t="s">
        <v>93</v>
      </c>
      <c r="E92" s="113">
        <v>125</v>
      </c>
      <c r="F92" s="113">
        <v>2</v>
      </c>
      <c r="G92" s="113">
        <v>44</v>
      </c>
      <c r="H92" s="112">
        <v>3</v>
      </c>
      <c r="I92" s="112"/>
      <c r="J92" s="112"/>
      <c r="K92" s="112"/>
      <c r="L92" s="112"/>
      <c r="M92" s="113"/>
      <c r="N92" s="113" t="s">
        <v>115</v>
      </c>
      <c r="O92" s="114" t="s">
        <v>101</v>
      </c>
    </row>
    <row r="93" spans="2:15">
      <c r="B93" s="111">
        <v>180</v>
      </c>
      <c r="C93" s="113" t="s">
        <v>148</v>
      </c>
      <c r="D93" s="112" t="s">
        <v>93</v>
      </c>
      <c r="E93" s="113">
        <v>90</v>
      </c>
      <c r="F93" s="113">
        <v>1</v>
      </c>
      <c r="G93" s="113">
        <v>45</v>
      </c>
      <c r="H93" s="112">
        <v>4</v>
      </c>
      <c r="I93" s="112"/>
      <c r="J93" s="112"/>
      <c r="K93" s="112"/>
      <c r="L93" s="112"/>
      <c r="M93" s="113"/>
      <c r="N93" s="113" t="s">
        <v>115</v>
      </c>
      <c r="O93" s="114" t="s">
        <v>101</v>
      </c>
    </row>
    <row r="94" spans="2:15" ht="15" thickBot="1">
      <c r="B94" s="273">
        <v>181</v>
      </c>
      <c r="C94" s="274"/>
      <c r="D94" s="275" t="s">
        <v>93</v>
      </c>
      <c r="E94" s="274">
        <v>110</v>
      </c>
      <c r="F94" s="274">
        <v>2</v>
      </c>
      <c r="G94" s="274">
        <v>40</v>
      </c>
      <c r="H94" s="275">
        <v>8</v>
      </c>
      <c r="I94" s="275" t="s">
        <v>115</v>
      </c>
      <c r="J94" s="275"/>
      <c r="K94" s="275"/>
      <c r="L94" s="275" t="s">
        <v>115</v>
      </c>
      <c r="M94" s="274"/>
      <c r="N94" s="274" t="s">
        <v>115</v>
      </c>
      <c r="O94" s="276" t="s">
        <v>101</v>
      </c>
    </row>
    <row r="95" spans="2:15" ht="15" thickBot="1">
      <c r="B95" s="272"/>
      <c r="C95" s="881" t="s">
        <v>3</v>
      </c>
      <c r="D95" s="882"/>
      <c r="E95" s="115">
        <f t="shared" ref="E95:L95" si="0">SUM(E6:E94)</f>
        <v>12101.55</v>
      </c>
      <c r="F95" s="115">
        <f t="shared" si="0"/>
        <v>306</v>
      </c>
      <c r="G95" s="115">
        <f t="shared" si="0"/>
        <v>5561</v>
      </c>
      <c r="H95" s="115">
        <f t="shared" si="0"/>
        <v>197</v>
      </c>
      <c r="I95" s="115">
        <f t="shared" si="0"/>
        <v>221.37569999999999</v>
      </c>
      <c r="J95" s="115">
        <f t="shared" si="0"/>
        <v>199615</v>
      </c>
      <c r="K95" s="115">
        <f t="shared" si="0"/>
        <v>73.813999999999993</v>
      </c>
      <c r="L95" s="115">
        <f t="shared" si="0"/>
        <v>73</v>
      </c>
    </row>
    <row r="96" spans="2:15" ht="15">
      <c r="E96" s="553"/>
    </row>
    <row r="97" spans="1:5" ht="15">
      <c r="E97" s="553"/>
    </row>
    <row r="100" spans="1:5" ht="15">
      <c r="A100" s="139"/>
    </row>
  </sheetData>
  <mergeCells count="8">
    <mergeCell ref="M4:N4"/>
    <mergeCell ref="O4:O5"/>
    <mergeCell ref="C95:D95"/>
    <mergeCell ref="B4:B5"/>
    <mergeCell ref="C4:C5"/>
    <mergeCell ref="D4:D5"/>
    <mergeCell ref="E4:G4"/>
    <mergeCell ref="H4:L4"/>
  </mergeCells>
  <pageMargins left="0.7" right="0.7" top="0.75" bottom="0.75" header="0.3" footer="0.3"/>
  <pageSetup paperSize="9" scale="4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O22"/>
  <sheetViews>
    <sheetView showGridLines="0" zoomScaleNormal="100" workbookViewId="0">
      <selection activeCell="C5" sqref="C5"/>
    </sheetView>
  </sheetViews>
  <sheetFormatPr defaultRowHeight="15"/>
  <cols>
    <col min="1" max="1" width="3.875" style="181" customWidth="1"/>
    <col min="2" max="2" width="9" style="181" customWidth="1"/>
    <col min="3" max="3" width="29.25" style="181" customWidth="1"/>
    <col min="4" max="5" width="12.625" style="181" customWidth="1"/>
    <col min="6" max="6" width="12.625" style="606" customWidth="1"/>
    <col min="7" max="9" width="12.625" style="181" customWidth="1"/>
    <col min="10" max="10" width="16.75" style="181" customWidth="1"/>
    <col min="11" max="11" width="4" style="181" customWidth="1"/>
    <col min="12" max="12" width="19" style="181" customWidth="1"/>
    <col min="13" max="14" width="15.375" style="151" customWidth="1"/>
    <col min="15" max="16384" width="9" style="181"/>
  </cols>
  <sheetData>
    <row r="1" spans="2:15" ht="30" customHeight="1">
      <c r="B1" s="778" t="s">
        <v>622</v>
      </c>
    </row>
    <row r="2" spans="2:15" ht="54">
      <c r="B2" s="218" t="s">
        <v>103</v>
      </c>
      <c r="C2" s="218" t="s">
        <v>53</v>
      </c>
      <c r="D2" s="218" t="s">
        <v>326</v>
      </c>
      <c r="E2" s="218" t="s">
        <v>54</v>
      </c>
      <c r="F2" s="218" t="s">
        <v>55</v>
      </c>
      <c r="G2" s="218" t="s">
        <v>48</v>
      </c>
      <c r="H2" s="218" t="s">
        <v>210</v>
      </c>
      <c r="I2" s="218" t="s">
        <v>327</v>
      </c>
      <c r="J2" s="218" t="s">
        <v>328</v>
      </c>
      <c r="K2" s="121"/>
      <c r="L2" s="602"/>
      <c r="M2" s="218" t="s">
        <v>67</v>
      </c>
      <c r="N2" s="218" t="s">
        <v>271</v>
      </c>
    </row>
    <row r="3" spans="2:15" ht="39.75" customHeight="1">
      <c r="B3" s="603">
        <v>1</v>
      </c>
      <c r="C3" s="143" t="s">
        <v>201</v>
      </c>
      <c r="D3" s="271">
        <v>507.81</v>
      </c>
      <c r="E3" s="271">
        <v>9.07</v>
      </c>
      <c r="F3" s="143" t="s">
        <v>2</v>
      </c>
      <c r="G3" s="271">
        <v>0</v>
      </c>
      <c r="H3" s="271">
        <f>G3*'Budynku niekomunalne_2014'!$C$27</f>
        <v>0</v>
      </c>
      <c r="I3" s="271">
        <f>'Budynki komunalne_2014'!E3*Wskaźniki!$C$7</f>
        <v>7.3648400000000009</v>
      </c>
      <c r="J3" s="271">
        <f>G3*Wskaźniki!$C$12</f>
        <v>0</v>
      </c>
      <c r="L3" s="147" t="s">
        <v>263</v>
      </c>
      <c r="M3" s="149" t="s">
        <v>269</v>
      </c>
      <c r="N3" s="153">
        <f>E14</f>
        <v>292.51</v>
      </c>
    </row>
    <row r="4" spans="2:15" ht="39.75" customHeight="1">
      <c r="B4" s="603">
        <v>2</v>
      </c>
      <c r="C4" s="143" t="s">
        <v>262</v>
      </c>
      <c r="D4" s="271">
        <v>631.46</v>
      </c>
      <c r="E4" s="271">
        <v>44.52</v>
      </c>
      <c r="F4" s="143" t="s">
        <v>2</v>
      </c>
      <c r="G4" s="271">
        <v>16253</v>
      </c>
      <c r="H4" s="271">
        <f>G4*'Budynku niekomunalne_2014'!$C$27</f>
        <v>4502.0810000000001</v>
      </c>
      <c r="I4" s="271">
        <f>'Budynki komunalne_2014'!E4*Wskaźniki!$C$7</f>
        <v>36.150240000000004</v>
      </c>
      <c r="J4" s="271">
        <f>G4*Wskaźniki!$C$12</f>
        <v>907.24246000000005</v>
      </c>
      <c r="L4" s="148" t="s">
        <v>264</v>
      </c>
      <c r="M4" s="149" t="s">
        <v>269</v>
      </c>
      <c r="N4" s="153">
        <f>H14</f>
        <v>10202.623352000001</v>
      </c>
    </row>
    <row r="5" spans="2:15" ht="32.25" customHeight="1">
      <c r="B5" s="603">
        <v>3</v>
      </c>
      <c r="C5" s="143" t="s">
        <v>252</v>
      </c>
      <c r="D5" s="271">
        <v>520</v>
      </c>
      <c r="E5" s="271">
        <v>13.3</v>
      </c>
      <c r="F5" s="143" t="s">
        <v>2</v>
      </c>
      <c r="G5" s="271">
        <v>467.46</v>
      </c>
      <c r="H5" s="271">
        <f>G5*'Budynku niekomunalne_2014'!$C$27</f>
        <v>129.48642000000001</v>
      </c>
      <c r="I5" s="271">
        <f>'Budynki komunalne_2014'!E5*Wskaźniki!$C$7</f>
        <v>10.799600000000002</v>
      </c>
      <c r="J5" s="271">
        <f>G5*Wskaźniki!$C$12</f>
        <v>26.093617200000001</v>
      </c>
      <c r="L5" s="154" t="s">
        <v>267</v>
      </c>
      <c r="M5" s="584" t="s">
        <v>269</v>
      </c>
      <c r="N5" s="155">
        <f>N3+N4</f>
        <v>10495.133352000001</v>
      </c>
    </row>
    <row r="6" spans="2:15" ht="49.5" customHeight="1">
      <c r="B6" s="604">
        <v>4</v>
      </c>
      <c r="C6" s="143" t="s">
        <v>258</v>
      </c>
      <c r="D6" s="144">
        <v>1196.4000000000001</v>
      </c>
      <c r="E6" s="144">
        <v>26.38</v>
      </c>
      <c r="F6" s="143" t="s">
        <v>2</v>
      </c>
      <c r="G6" s="271">
        <v>482.25</v>
      </c>
      <c r="H6" s="271">
        <f>G6*'Budynku niekomunalne_2014'!$C$27</f>
        <v>133.58325000000002</v>
      </c>
      <c r="I6" s="271">
        <f>'Budynki komunalne_2014'!E6*Wskaźniki!$C$7</f>
        <v>21.420560000000002</v>
      </c>
      <c r="J6" s="271">
        <f>G6*Wskaźniki!$C$12</f>
        <v>26.919195000000002</v>
      </c>
      <c r="L6" s="148" t="s">
        <v>265</v>
      </c>
      <c r="M6" s="149" t="s">
        <v>270</v>
      </c>
      <c r="N6" s="153">
        <f>I14</f>
        <v>243.65511999999998</v>
      </c>
    </row>
    <row r="7" spans="2:15" ht="39.75" customHeight="1">
      <c r="B7" s="603">
        <v>5</v>
      </c>
      <c r="C7" s="143" t="s">
        <v>127</v>
      </c>
      <c r="D7" s="271">
        <v>800</v>
      </c>
      <c r="E7" s="271">
        <v>52</v>
      </c>
      <c r="F7" s="143" t="s">
        <v>2</v>
      </c>
      <c r="G7" s="271">
        <v>56.7</v>
      </c>
      <c r="H7" s="271">
        <f>G7*'Budynku niekomunalne_2014'!$C$27</f>
        <v>15.705900000000002</v>
      </c>
      <c r="I7" s="271">
        <f>'Budynki komunalne_2014'!E7*Wskaźniki!$C$7</f>
        <v>42.224000000000004</v>
      </c>
      <c r="J7" s="271">
        <f>G7*Wskaźniki!$C$12</f>
        <v>3.1649940000000001</v>
      </c>
      <c r="L7" s="148" t="s">
        <v>266</v>
      </c>
      <c r="M7" s="149" t="s">
        <v>270</v>
      </c>
      <c r="N7" s="153">
        <f>J14</f>
        <v>2088.522631343104</v>
      </c>
    </row>
    <row r="8" spans="2:15" ht="39.75" customHeight="1">
      <c r="B8" s="603"/>
      <c r="C8" s="143"/>
      <c r="D8" s="271"/>
      <c r="E8" s="271"/>
      <c r="F8" s="143" t="s">
        <v>91</v>
      </c>
      <c r="G8" s="271">
        <v>652.79999999999995</v>
      </c>
      <c r="H8" s="271">
        <f>G8*'Budynku niekomunalne_2014'!$C$27</f>
        <v>180.82560000000001</v>
      </c>
      <c r="I8" s="271">
        <f>'Budynki komunalne_2014'!E8*Wskaźniki!$C$7</f>
        <v>0</v>
      </c>
      <c r="J8" s="271">
        <f>G8*Wskaźniki!C8</f>
        <v>61.839743999999989</v>
      </c>
      <c r="L8" s="154" t="s">
        <v>268</v>
      </c>
      <c r="M8" s="584" t="s">
        <v>270</v>
      </c>
      <c r="N8" s="155">
        <f>N6+N7</f>
        <v>2332.1777513431039</v>
      </c>
    </row>
    <row r="9" spans="2:15" ht="39.75" customHeight="1">
      <c r="B9" s="603">
        <v>6</v>
      </c>
      <c r="C9" s="143" t="s">
        <v>203</v>
      </c>
      <c r="D9" s="271">
        <v>280.82</v>
      </c>
      <c r="E9" s="271">
        <v>9.7899999999999991</v>
      </c>
      <c r="F9" s="143" t="s">
        <v>62</v>
      </c>
      <c r="G9" s="271">
        <v>9.7899999999999991</v>
      </c>
      <c r="H9" s="271">
        <f>G9*'Budynku niekomunalne_2014'!$C$27</f>
        <v>2.71183</v>
      </c>
      <c r="I9" s="271">
        <f>'Budynki komunalne_2014'!E9*Wskaźniki!$C$7</f>
        <v>7.9494799999999994</v>
      </c>
      <c r="J9" s="271">
        <f>G9*Wskaźniki!C7</f>
        <v>7.9494799999999994</v>
      </c>
    </row>
    <row r="10" spans="2:15" ht="39.75" customHeight="1">
      <c r="B10" s="603">
        <v>7</v>
      </c>
      <c r="C10" s="143" t="s">
        <v>204</v>
      </c>
      <c r="D10" s="271">
        <v>312.5</v>
      </c>
      <c r="E10" s="271">
        <v>8.4499999999999993</v>
      </c>
      <c r="F10" s="143" t="s">
        <v>2</v>
      </c>
      <c r="G10" s="271">
        <v>2913</v>
      </c>
      <c r="H10" s="271">
        <f>G10*'Budynku niekomunalne_2014'!$C$27</f>
        <v>806.90100000000007</v>
      </c>
      <c r="I10" s="271">
        <f>'Budynki komunalne_2014'!E10*Wskaźniki!$C$7</f>
        <v>6.8613999999999997</v>
      </c>
      <c r="J10" s="146">
        <f>G10*Wskaźniki!$C$12</f>
        <v>162.60365999999999</v>
      </c>
    </row>
    <row r="11" spans="2:15" ht="39" customHeight="1">
      <c r="B11" s="603">
        <v>8</v>
      </c>
      <c r="C11" s="143" t="s">
        <v>202</v>
      </c>
      <c r="D11" s="271">
        <v>665</v>
      </c>
      <c r="E11" s="144">
        <v>34.58</v>
      </c>
      <c r="F11" s="143" t="s">
        <v>2</v>
      </c>
      <c r="G11" s="144">
        <v>12072</v>
      </c>
      <c r="H11" s="271">
        <f>G11*'Budynku niekomunalne_2014'!$C$27</f>
        <v>3343.9440000000004</v>
      </c>
      <c r="I11" s="271">
        <f>'Budynki komunalne_2014'!E11*Wskaźniki!$C$7</f>
        <v>28.078960000000002</v>
      </c>
      <c r="J11" s="146">
        <f>G11*Wskaźniki!$C$12</f>
        <v>673.85904000000005</v>
      </c>
    </row>
    <row r="12" spans="2:15" ht="39" customHeight="1">
      <c r="B12" s="603">
        <v>9</v>
      </c>
      <c r="C12" s="747" t="s">
        <v>609</v>
      </c>
      <c r="D12" s="781">
        <v>5000</v>
      </c>
      <c r="E12" s="746">
        <f>4860*12/1000</f>
        <v>58.32</v>
      </c>
      <c r="F12" s="744" t="s">
        <v>2</v>
      </c>
      <c r="G12" s="746">
        <v>2165</v>
      </c>
      <c r="H12" s="745">
        <f>G12*'Budynku niekomunalne_2014'!$C$27</f>
        <v>599.70500000000004</v>
      </c>
      <c r="I12" s="271">
        <f>'Budynki komunalne_2014'!E12*Wskaźniki!$C$7</f>
        <v>47.355840000000001</v>
      </c>
      <c r="J12" s="146">
        <f>G12*Wskaźniki!$C$12</f>
        <v>120.8503</v>
      </c>
    </row>
    <row r="13" spans="2:15" ht="39" customHeight="1">
      <c r="B13" s="603">
        <v>10</v>
      </c>
      <c r="C13" s="747" t="s">
        <v>610</v>
      </c>
      <c r="D13" s="781">
        <v>3100</v>
      </c>
      <c r="E13" s="746">
        <v>36.1</v>
      </c>
      <c r="F13" s="744" t="s">
        <v>2</v>
      </c>
      <c r="G13" s="746">
        <f>H13*'Budynku niekomunalne_2014'!C26</f>
        <v>1755.6456671999997</v>
      </c>
      <c r="H13" s="745">
        <f>43028*11.334/1000</f>
        <v>487.67935199999994</v>
      </c>
      <c r="I13" s="271">
        <f>E13*0.982</f>
        <v>35.450200000000002</v>
      </c>
      <c r="J13" s="146">
        <f>G13*Wskaźniki!$C$12</f>
        <v>98.000141143103988</v>
      </c>
    </row>
    <row r="14" spans="2:15" ht="15.75" customHeight="1">
      <c r="B14" s="584" t="s">
        <v>3</v>
      </c>
      <c r="C14" s="584"/>
      <c r="D14" s="155">
        <f>SUM(D3:D13)</f>
        <v>13013.99</v>
      </c>
      <c r="E14" s="155">
        <f>SUM(E3:E13)</f>
        <v>292.51</v>
      </c>
      <c r="F14" s="605"/>
      <c r="G14" s="155">
        <f>SUM(G3:G13)</f>
        <v>36827.645667199999</v>
      </c>
      <c r="H14" s="155">
        <f>SUM(H3:H13)</f>
        <v>10202.623352000001</v>
      </c>
      <c r="I14" s="155">
        <f>SUM(I3:I13)</f>
        <v>243.65511999999998</v>
      </c>
      <c r="J14" s="155">
        <f>SUM(J3:J13)</f>
        <v>2088.522631343104</v>
      </c>
    </row>
    <row r="15" spans="2:15" ht="15.75" customHeight="1">
      <c r="N15" s="755"/>
      <c r="O15" s="756"/>
    </row>
    <row r="16" spans="2:15">
      <c r="B16" s="768"/>
      <c r="C16" s="769"/>
      <c r="D16" s="769"/>
      <c r="E16" s="769"/>
      <c r="F16" s="770"/>
      <c r="G16" s="779"/>
      <c r="H16" s="769"/>
      <c r="I16" s="769"/>
      <c r="J16" s="769"/>
    </row>
    <row r="17" spans="2:14">
      <c r="B17" s="771"/>
      <c r="C17" s="772"/>
      <c r="D17" s="773"/>
      <c r="E17" s="774"/>
      <c r="F17" s="775"/>
      <c r="G17" s="774"/>
      <c r="H17" s="773"/>
      <c r="I17" s="773"/>
      <c r="J17" s="776"/>
    </row>
    <row r="18" spans="2:14" s="608" customFormat="1">
      <c r="B18" s="771"/>
      <c r="C18" s="772"/>
      <c r="D18" s="773"/>
      <c r="E18" s="774"/>
      <c r="F18" s="775"/>
      <c r="G18" s="774"/>
      <c r="H18" s="773"/>
      <c r="I18" s="773"/>
      <c r="J18" s="776"/>
      <c r="K18" s="607"/>
      <c r="M18" s="152"/>
      <c r="N18" s="152"/>
    </row>
    <row r="21" spans="2:14" ht="28.5" customHeight="1">
      <c r="D21" s="758"/>
    </row>
    <row r="22" spans="2:14">
      <c r="D22" s="758"/>
    </row>
  </sheetData>
  <pageMargins left="0.7" right="0.7" top="0.75" bottom="0.75" header="0.3" footer="0.3"/>
  <pageSetup paperSize="9" scale="4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P27"/>
  <sheetViews>
    <sheetView showGridLines="0" zoomScale="80" zoomScaleNormal="80" workbookViewId="0">
      <selection activeCell="C4" sqref="C4:C5"/>
    </sheetView>
  </sheetViews>
  <sheetFormatPr defaultRowHeight="14.25"/>
  <cols>
    <col min="1" max="1" width="4.625" style="181" customWidth="1"/>
    <col min="2" max="2" width="9" style="181"/>
    <col min="3" max="3" width="30.375" style="181" customWidth="1"/>
    <col min="4" max="12" width="16.125" style="181" customWidth="1"/>
    <col min="13" max="13" width="9" style="181"/>
    <col min="14" max="14" width="16.625" style="181" customWidth="1"/>
    <col min="15" max="15" width="12.625" style="181" customWidth="1"/>
    <col min="16" max="16" width="11.5" style="181" customWidth="1"/>
    <col min="17" max="16384" width="9" style="181"/>
  </cols>
  <sheetData>
    <row r="1" spans="2:16" ht="30" customHeight="1">
      <c r="B1" s="778" t="s">
        <v>622</v>
      </c>
    </row>
    <row r="2" spans="2:16" ht="66">
      <c r="B2" s="238" t="s">
        <v>103</v>
      </c>
      <c r="C2" s="239" t="s">
        <v>53</v>
      </c>
      <c r="D2" s="239" t="s">
        <v>345</v>
      </c>
      <c r="E2" s="239" t="s">
        <v>54</v>
      </c>
      <c r="F2" s="239" t="s">
        <v>55</v>
      </c>
      <c r="G2" s="239" t="s">
        <v>48</v>
      </c>
      <c r="H2" s="239" t="s">
        <v>210</v>
      </c>
      <c r="I2" s="239" t="s">
        <v>318</v>
      </c>
      <c r="J2" s="239" t="s">
        <v>346</v>
      </c>
      <c r="K2" s="239" t="s">
        <v>319</v>
      </c>
      <c r="L2" s="239" t="s">
        <v>347</v>
      </c>
      <c r="N2" s="217"/>
      <c r="O2" s="218" t="s">
        <v>67</v>
      </c>
      <c r="P2" s="218" t="s">
        <v>271</v>
      </c>
    </row>
    <row r="3" spans="2:16" ht="30">
      <c r="B3" s="895" t="s">
        <v>272</v>
      </c>
      <c r="C3" s="895"/>
      <c r="D3" s="895"/>
      <c r="E3" s="895"/>
      <c r="F3" s="895"/>
      <c r="G3" s="895"/>
      <c r="H3" s="895"/>
      <c r="I3" s="895"/>
      <c r="J3" s="895"/>
      <c r="K3" s="895"/>
      <c r="L3" s="895"/>
      <c r="N3" s="147" t="s">
        <v>263</v>
      </c>
      <c r="O3" s="149" t="s">
        <v>269</v>
      </c>
      <c r="P3" s="153">
        <f>E23</f>
        <v>4362.6099999999997</v>
      </c>
    </row>
    <row r="4" spans="2:16" ht="58.5" customHeight="1">
      <c r="B4" s="898">
        <v>1</v>
      </c>
      <c r="C4" s="896" t="s">
        <v>120</v>
      </c>
      <c r="D4" s="893">
        <v>24063</v>
      </c>
      <c r="E4" s="893">
        <v>185</v>
      </c>
      <c r="F4" s="159" t="s">
        <v>2</v>
      </c>
      <c r="G4" s="159">
        <v>29889.9074</v>
      </c>
      <c r="H4" s="159">
        <f>G4*$C$27</f>
        <v>8279.5043498000014</v>
      </c>
      <c r="I4" s="186">
        <f>Wskaźniki!$C$7</f>
        <v>0.81200000000000006</v>
      </c>
      <c r="J4" s="893">
        <f>E4*I4</f>
        <v>150.22</v>
      </c>
      <c r="K4" s="187">
        <f>Wskaźniki!$C$12</f>
        <v>5.5820000000000002E-2</v>
      </c>
      <c r="L4" s="159">
        <f>G4*K4</f>
        <v>1668.454631068</v>
      </c>
      <c r="N4" s="148" t="s">
        <v>264</v>
      </c>
      <c r="O4" s="149" t="s">
        <v>269</v>
      </c>
      <c r="P4" s="153">
        <f>H23</f>
        <v>28870.974090388205</v>
      </c>
    </row>
    <row r="5" spans="2:16" ht="58.5" customHeight="1">
      <c r="B5" s="899"/>
      <c r="C5" s="897"/>
      <c r="D5" s="894"/>
      <c r="E5" s="894"/>
      <c r="F5" s="159" t="s">
        <v>62</v>
      </c>
      <c r="G5" s="159">
        <v>6.8903999999999996</v>
      </c>
      <c r="H5" s="159">
        <f t="shared" ref="H5:H22" si="0">G5*$C$27</f>
        <v>1.9086408000000001</v>
      </c>
      <c r="I5" s="186">
        <f>Wskaźniki!$C$7</f>
        <v>0.81200000000000006</v>
      </c>
      <c r="J5" s="894"/>
      <c r="K5" s="186">
        <f>Wskaźniki!$C$6</f>
        <v>0.22600000000000001</v>
      </c>
      <c r="L5" s="159">
        <f t="shared" ref="L5:L22" si="1">G5*K5</f>
        <v>1.5572303999999999</v>
      </c>
      <c r="N5" s="154" t="s">
        <v>267</v>
      </c>
      <c r="O5" s="150" t="s">
        <v>269</v>
      </c>
      <c r="P5" s="155">
        <f>P3+P4</f>
        <v>33233.584090388205</v>
      </c>
    </row>
    <row r="6" spans="2:16" ht="45">
      <c r="B6" s="160">
        <v>2</v>
      </c>
      <c r="C6" s="600" t="s">
        <v>119</v>
      </c>
      <c r="D6" s="159">
        <v>8602</v>
      </c>
      <c r="E6" s="159">
        <v>338.43</v>
      </c>
      <c r="F6" s="159" t="s">
        <v>2</v>
      </c>
      <c r="G6" s="159">
        <v>6.3274227999999999</v>
      </c>
      <c r="H6" s="159">
        <f t="shared" si="0"/>
        <v>1.7526961156</v>
      </c>
      <c r="I6" s="186">
        <f>Wskaźniki!$C$7</f>
        <v>0.81200000000000006</v>
      </c>
      <c r="J6" s="159">
        <f>E6*I6</f>
        <v>274.80516</v>
      </c>
      <c r="K6" s="187">
        <f>Wskaźniki!$C$12</f>
        <v>5.5820000000000002E-2</v>
      </c>
      <c r="L6" s="159">
        <f t="shared" si="1"/>
        <v>0.35319674069599999</v>
      </c>
      <c r="N6" s="148" t="s">
        <v>265</v>
      </c>
      <c r="O6" s="149" t="s">
        <v>270</v>
      </c>
      <c r="P6" s="153">
        <f>J23</f>
        <v>3542.4393200000004</v>
      </c>
    </row>
    <row r="7" spans="2:16" ht="45">
      <c r="B7" s="160">
        <v>3</v>
      </c>
      <c r="C7" s="600" t="s">
        <v>257</v>
      </c>
      <c r="D7" s="159">
        <v>8084</v>
      </c>
      <c r="E7" s="159">
        <v>370.56</v>
      </c>
      <c r="F7" s="159" t="s">
        <v>2</v>
      </c>
      <c r="G7" s="159">
        <v>8330.8058000000001</v>
      </c>
      <c r="H7" s="159">
        <f>G7*$C$27</f>
        <v>2307.6332066000004</v>
      </c>
      <c r="I7" s="186">
        <f>Wskaźniki!$C$7</f>
        <v>0.81200000000000006</v>
      </c>
      <c r="J7" s="159">
        <f t="shared" ref="J7:J22" si="2">E7*I7</f>
        <v>300.89472000000001</v>
      </c>
      <c r="K7" s="187">
        <f>Wskaźniki!$C$12</f>
        <v>5.5820000000000002E-2</v>
      </c>
      <c r="L7" s="159">
        <f t="shared" si="1"/>
        <v>465.02557975600001</v>
      </c>
      <c r="N7" s="148" t="s">
        <v>266</v>
      </c>
      <c r="O7" s="149" t="s">
        <v>270</v>
      </c>
      <c r="P7" s="153">
        <f>L23</f>
        <v>5821.8122709300123</v>
      </c>
    </row>
    <row r="8" spans="2:16" ht="30">
      <c r="B8" s="160">
        <v>4</v>
      </c>
      <c r="C8" s="600" t="s">
        <v>222</v>
      </c>
      <c r="D8" s="159">
        <v>3300</v>
      </c>
      <c r="E8" s="159" t="s">
        <v>274</v>
      </c>
      <c r="F8" s="159" t="s">
        <v>2</v>
      </c>
      <c r="G8" s="159" t="s">
        <v>274</v>
      </c>
      <c r="H8" s="159" t="s">
        <v>274</v>
      </c>
      <c r="I8" s="186">
        <f>Wskaźniki!$C$7</f>
        <v>0.81200000000000006</v>
      </c>
      <c r="J8" s="159" t="s">
        <v>274</v>
      </c>
      <c r="K8" s="187">
        <f>Wskaźniki!$C$12</f>
        <v>5.5820000000000002E-2</v>
      </c>
      <c r="L8" s="159">
        <v>0</v>
      </c>
      <c r="N8" s="154" t="s">
        <v>268</v>
      </c>
      <c r="O8" s="150" t="s">
        <v>270</v>
      </c>
      <c r="P8" s="155">
        <f>P6+P7</f>
        <v>9364.2515909300128</v>
      </c>
    </row>
    <row r="9" spans="2:16" ht="57">
      <c r="B9" s="160">
        <v>5</v>
      </c>
      <c r="C9" s="600" t="s">
        <v>223</v>
      </c>
      <c r="D9" s="159">
        <v>16826</v>
      </c>
      <c r="E9" s="159">
        <v>2</v>
      </c>
      <c r="F9" s="159" t="s">
        <v>2</v>
      </c>
      <c r="G9" s="159">
        <v>14920</v>
      </c>
      <c r="H9" s="159">
        <f t="shared" si="0"/>
        <v>4132.84</v>
      </c>
      <c r="I9" s="186">
        <f>Wskaźniki!$C$7</f>
        <v>0.81200000000000006</v>
      </c>
      <c r="J9" s="159">
        <f t="shared" si="2"/>
        <v>1.6240000000000001</v>
      </c>
      <c r="K9" s="187">
        <f>Wskaźniki!$C$12</f>
        <v>5.5820000000000002E-2</v>
      </c>
      <c r="L9" s="159">
        <f t="shared" si="1"/>
        <v>832.83440000000007</v>
      </c>
    </row>
    <row r="10" spans="2:16" ht="49.5" customHeight="1">
      <c r="B10" s="160">
        <v>6</v>
      </c>
      <c r="C10" s="600" t="s">
        <v>220</v>
      </c>
      <c r="D10" s="159">
        <v>2120.23</v>
      </c>
      <c r="E10" s="159" t="s">
        <v>274</v>
      </c>
      <c r="F10" s="159" t="s">
        <v>274</v>
      </c>
      <c r="G10" s="159" t="s">
        <v>274</v>
      </c>
      <c r="H10" s="159" t="s">
        <v>274</v>
      </c>
      <c r="I10" s="186">
        <f>Wskaźniki!$C$7</f>
        <v>0.81200000000000006</v>
      </c>
      <c r="J10" s="159" t="s">
        <v>274</v>
      </c>
      <c r="K10" s="187">
        <f>Wskaźniki!$C$12</f>
        <v>5.5820000000000002E-2</v>
      </c>
      <c r="L10" s="159">
        <v>0</v>
      </c>
    </row>
    <row r="11" spans="2:16" ht="71.25">
      <c r="B11" s="160">
        <v>7</v>
      </c>
      <c r="C11" s="600" t="s">
        <v>218</v>
      </c>
      <c r="D11" s="159">
        <v>3211.38</v>
      </c>
      <c r="E11" s="159">
        <v>86</v>
      </c>
      <c r="F11" s="159" t="s">
        <v>2</v>
      </c>
      <c r="G11" s="159">
        <v>5193.5028000000002</v>
      </c>
      <c r="H11" s="159">
        <f t="shared" si="0"/>
        <v>1438.6002756000003</v>
      </c>
      <c r="I11" s="186">
        <f>Wskaźniki!$C$7</f>
        <v>0.81200000000000006</v>
      </c>
      <c r="J11" s="159">
        <f t="shared" si="2"/>
        <v>69.832000000000008</v>
      </c>
      <c r="K11" s="187">
        <f>Wskaźniki!$C$12</f>
        <v>5.5820000000000002E-2</v>
      </c>
      <c r="L11" s="159">
        <f t="shared" si="1"/>
        <v>289.90132629600004</v>
      </c>
    </row>
    <row r="12" spans="2:16" ht="28.5">
      <c r="B12" s="160">
        <v>8</v>
      </c>
      <c r="C12" s="600" t="s">
        <v>216</v>
      </c>
      <c r="D12" s="159">
        <v>150</v>
      </c>
      <c r="E12" s="159">
        <v>41</v>
      </c>
      <c r="F12" s="159" t="s">
        <v>44</v>
      </c>
      <c r="G12" s="159">
        <v>128.52000000000001</v>
      </c>
      <c r="H12" s="159">
        <f t="shared" si="0"/>
        <v>35.600040000000007</v>
      </c>
      <c r="I12" s="186">
        <f>Wskaźniki!$C$7</f>
        <v>0.81200000000000006</v>
      </c>
      <c r="J12" s="159">
        <f t="shared" si="2"/>
        <v>33.292000000000002</v>
      </c>
      <c r="K12" s="187">
        <f>Wskaźniki!$C$9</f>
        <v>7.6590000000000005E-2</v>
      </c>
      <c r="L12" s="159">
        <f t="shared" si="1"/>
        <v>9.8433468000000008</v>
      </c>
    </row>
    <row r="13" spans="2:16" ht="28.5">
      <c r="B13" s="160">
        <v>9</v>
      </c>
      <c r="C13" s="600" t="s">
        <v>126</v>
      </c>
      <c r="D13" s="159">
        <v>3513</v>
      </c>
      <c r="E13" s="159">
        <v>231.54</v>
      </c>
      <c r="F13" s="159" t="s">
        <v>2</v>
      </c>
      <c r="G13" s="159">
        <v>3628.5439999999999</v>
      </c>
      <c r="H13" s="159">
        <f t="shared" si="0"/>
        <v>1005.1066880000001</v>
      </c>
      <c r="I13" s="186">
        <f>Wskaźniki!$C$7</f>
        <v>0.81200000000000006</v>
      </c>
      <c r="J13" s="159">
        <f t="shared" si="2"/>
        <v>188.01048</v>
      </c>
      <c r="K13" s="187">
        <f>Wskaźniki!$C$12</f>
        <v>5.5820000000000002E-2</v>
      </c>
      <c r="L13" s="159">
        <f t="shared" si="1"/>
        <v>202.54532608</v>
      </c>
    </row>
    <row r="14" spans="2:16" ht="28.5">
      <c r="B14" s="160">
        <v>10</v>
      </c>
      <c r="C14" s="600" t="s">
        <v>121</v>
      </c>
      <c r="D14" s="159">
        <v>4387</v>
      </c>
      <c r="E14" s="159">
        <v>170.08</v>
      </c>
      <c r="F14" s="159" t="s">
        <v>2</v>
      </c>
      <c r="G14" s="159">
        <v>3.7600637999999997</v>
      </c>
      <c r="H14" s="159">
        <f t="shared" si="0"/>
        <v>1.0415376726000001</v>
      </c>
      <c r="I14" s="186">
        <f>Wskaźniki!$C$7</f>
        <v>0.81200000000000006</v>
      </c>
      <c r="J14" s="159">
        <f t="shared" si="2"/>
        <v>138.10496000000001</v>
      </c>
      <c r="K14" s="187">
        <f>Wskaźniki!$C$12</f>
        <v>5.5820000000000002E-2</v>
      </c>
      <c r="L14" s="159">
        <f t="shared" si="1"/>
        <v>0.20988676131599998</v>
      </c>
    </row>
    <row r="15" spans="2:16" ht="42.75">
      <c r="B15" s="160">
        <v>11</v>
      </c>
      <c r="C15" s="601" t="s">
        <v>200</v>
      </c>
      <c r="D15" s="159">
        <v>3850</v>
      </c>
      <c r="E15" s="159">
        <v>200</v>
      </c>
      <c r="F15" s="159" t="s">
        <v>2</v>
      </c>
      <c r="G15" s="159">
        <v>3058.6</v>
      </c>
      <c r="H15" s="159">
        <f t="shared" si="0"/>
        <v>847.23220000000003</v>
      </c>
      <c r="I15" s="186">
        <f>Wskaźniki!$C$7</f>
        <v>0.81200000000000006</v>
      </c>
      <c r="J15" s="159">
        <f t="shared" si="2"/>
        <v>162.4</v>
      </c>
      <c r="K15" s="187">
        <f>Wskaźniki!$C$12</f>
        <v>5.5820000000000002E-2</v>
      </c>
      <c r="L15" s="159">
        <f t="shared" si="1"/>
        <v>170.73105200000001</v>
      </c>
    </row>
    <row r="16" spans="2:16" ht="42.75">
      <c r="B16" s="160">
        <v>12</v>
      </c>
      <c r="C16" s="600" t="s">
        <v>221</v>
      </c>
      <c r="D16" s="159">
        <v>3826</v>
      </c>
      <c r="E16" s="159">
        <v>237</v>
      </c>
      <c r="F16" s="159" t="s">
        <v>2</v>
      </c>
      <c r="G16" s="159">
        <v>3724.7406999999998</v>
      </c>
      <c r="H16" s="159">
        <f t="shared" si="0"/>
        <v>1031.7531739000001</v>
      </c>
      <c r="I16" s="186">
        <f>Wskaźniki!$C$7</f>
        <v>0.81200000000000006</v>
      </c>
      <c r="J16" s="159">
        <f t="shared" si="2"/>
        <v>192.44400000000002</v>
      </c>
      <c r="K16" s="187">
        <f>Wskaźniki!$C$12</f>
        <v>5.5820000000000002E-2</v>
      </c>
      <c r="L16" s="159">
        <f t="shared" si="1"/>
        <v>207.91502587400001</v>
      </c>
    </row>
    <row r="17" spans="2:12" ht="28.5">
      <c r="B17" s="160">
        <v>13</v>
      </c>
      <c r="C17" s="600" t="s">
        <v>224</v>
      </c>
      <c r="D17" s="159">
        <v>12300</v>
      </c>
      <c r="E17" s="159">
        <v>615</v>
      </c>
      <c r="F17" s="159" t="s">
        <v>2</v>
      </c>
      <c r="G17" s="159">
        <v>10084.800999999999</v>
      </c>
      <c r="H17" s="159">
        <f t="shared" si="0"/>
        <v>2793.489877</v>
      </c>
      <c r="I17" s="186">
        <f>Wskaźniki!$C$7</f>
        <v>0.81200000000000006</v>
      </c>
      <c r="J17" s="159">
        <f t="shared" si="2"/>
        <v>499.38000000000005</v>
      </c>
      <c r="K17" s="187">
        <f>Wskaźniki!$C$12</f>
        <v>5.5820000000000002E-2</v>
      </c>
      <c r="L17" s="159">
        <f t="shared" si="1"/>
        <v>562.93359181999995</v>
      </c>
    </row>
    <row r="18" spans="2:12" ht="28.5">
      <c r="B18" s="160">
        <v>14</v>
      </c>
      <c r="C18" s="600" t="s">
        <v>219</v>
      </c>
      <c r="D18" s="159">
        <v>6330.73</v>
      </c>
      <c r="E18" s="159">
        <v>570</v>
      </c>
      <c r="F18" s="159" t="s">
        <v>2</v>
      </c>
      <c r="G18" s="159">
        <v>7405.7285000000002</v>
      </c>
      <c r="H18" s="159">
        <f t="shared" si="0"/>
        <v>2051.3867945000002</v>
      </c>
      <c r="I18" s="186">
        <f>Wskaźniki!$C$7</f>
        <v>0.81200000000000006</v>
      </c>
      <c r="J18" s="159">
        <f t="shared" si="2"/>
        <v>462.84000000000003</v>
      </c>
      <c r="K18" s="187">
        <f>Wskaźniki!$C$12</f>
        <v>5.5820000000000002E-2</v>
      </c>
      <c r="L18" s="159">
        <f t="shared" si="1"/>
        <v>413.38776487000001</v>
      </c>
    </row>
    <row r="19" spans="2:12" ht="57">
      <c r="B19" s="160">
        <v>15</v>
      </c>
      <c r="C19" s="600" t="s">
        <v>217</v>
      </c>
      <c r="D19" s="159">
        <v>5029</v>
      </c>
      <c r="E19" s="159">
        <v>189</v>
      </c>
      <c r="F19" s="159" t="s">
        <v>2</v>
      </c>
      <c r="G19" s="159">
        <v>3121.7489</v>
      </c>
      <c r="H19" s="159">
        <f t="shared" si="0"/>
        <v>864.72444530000007</v>
      </c>
      <c r="I19" s="186">
        <f>Wskaźniki!$C$7</f>
        <v>0.81200000000000006</v>
      </c>
      <c r="J19" s="159">
        <f t="shared" si="2"/>
        <v>153.46800000000002</v>
      </c>
      <c r="K19" s="187">
        <f>Wskaźniki!$C$12</f>
        <v>5.5820000000000002E-2</v>
      </c>
      <c r="L19" s="159">
        <f t="shared" si="1"/>
        <v>174.25602359800001</v>
      </c>
    </row>
    <row r="20" spans="2:12" ht="28.5">
      <c r="B20" s="160">
        <v>16</v>
      </c>
      <c r="C20" s="600" t="s">
        <v>273</v>
      </c>
      <c r="D20" s="159">
        <v>13077</v>
      </c>
      <c r="E20" s="159">
        <v>771</v>
      </c>
      <c r="F20" s="159" t="s">
        <v>2</v>
      </c>
      <c r="G20" s="159">
        <v>10662.615299999999</v>
      </c>
      <c r="H20" s="159">
        <f t="shared" si="0"/>
        <v>2953.5444381000002</v>
      </c>
      <c r="I20" s="186">
        <f>Wskaźniki!$C$7</f>
        <v>0.81200000000000006</v>
      </c>
      <c r="J20" s="159">
        <f t="shared" si="2"/>
        <v>626.05200000000002</v>
      </c>
      <c r="K20" s="187">
        <f>Wskaźniki!$C$12</f>
        <v>5.5820000000000002E-2</v>
      </c>
      <c r="L20" s="159">
        <f t="shared" si="1"/>
        <v>595.18718604599997</v>
      </c>
    </row>
    <row r="21" spans="2:12" ht="28.5">
      <c r="B21" s="160">
        <v>17</v>
      </c>
      <c r="C21" s="600" t="s">
        <v>259</v>
      </c>
      <c r="D21" s="159">
        <v>4193.26</v>
      </c>
      <c r="E21" s="159">
        <v>356</v>
      </c>
      <c r="F21" s="159" t="s">
        <v>2</v>
      </c>
      <c r="G21" s="159">
        <v>4060.8510000000001</v>
      </c>
      <c r="H21" s="159">
        <f t="shared" si="0"/>
        <v>1124.8557270000001</v>
      </c>
      <c r="I21" s="186">
        <f>Wskaźniki!$C$7</f>
        <v>0.81200000000000006</v>
      </c>
      <c r="J21" s="159">
        <f t="shared" si="2"/>
        <v>289.072</v>
      </c>
      <c r="K21" s="187">
        <f>Wskaźniki!$C$12</f>
        <v>5.5820000000000002E-2</v>
      </c>
      <c r="L21" s="159">
        <f t="shared" si="1"/>
        <v>226.67670282</v>
      </c>
    </row>
    <row r="22" spans="2:12" ht="42.75">
      <c r="B22" s="817">
        <v>18</v>
      </c>
      <c r="C22" s="818" t="s">
        <v>639</v>
      </c>
      <c r="D22" s="819">
        <v>667.35</v>
      </c>
      <c r="E22" s="819">
        <v>33</v>
      </c>
      <c r="F22" s="819" t="s">
        <v>2</v>
      </c>
      <c r="G22" s="819">
        <v>646</v>
      </c>
      <c r="H22" s="819">
        <f t="shared" si="0"/>
        <v>178.94200000000001</v>
      </c>
      <c r="I22" s="186">
        <f>Wskaźniki!$C$7</f>
        <v>0.81200000000000006</v>
      </c>
      <c r="J22" s="159">
        <f t="shared" si="2"/>
        <v>26.796000000000003</v>
      </c>
      <c r="K22" s="187">
        <f>Wskaźniki!$C$12</f>
        <v>5.5820000000000002E-2</v>
      </c>
      <c r="L22" s="159">
        <f t="shared" si="1"/>
        <v>36.059719999999999</v>
      </c>
    </row>
    <row r="23" spans="2:12" ht="15">
      <c r="B23" s="160"/>
      <c r="C23" s="157" t="s">
        <v>3</v>
      </c>
      <c r="D23" s="188">
        <f>SUM(D4:D21)</f>
        <v>122862.59999999999</v>
      </c>
      <c r="E23" s="188">
        <f>SUM(E4:E21)</f>
        <v>4362.6099999999997</v>
      </c>
      <c r="F23" s="189"/>
      <c r="G23" s="188">
        <f>SUM(G4:G21)</f>
        <v>104227.34328659999</v>
      </c>
      <c r="H23" s="188">
        <f>SUM(H4:H21)</f>
        <v>28870.974090388205</v>
      </c>
      <c r="I23" s="190"/>
      <c r="J23" s="188">
        <f>SUM(J4:J21)</f>
        <v>3542.4393200000004</v>
      </c>
      <c r="K23" s="189"/>
      <c r="L23" s="155">
        <f>SUM(L4:L21)</f>
        <v>5821.8122709300123</v>
      </c>
    </row>
    <row r="25" spans="2:12">
      <c r="B25" s="892" t="s">
        <v>211</v>
      </c>
      <c r="C25" s="892"/>
      <c r="D25" s="892"/>
    </row>
    <row r="26" spans="2:12">
      <c r="B26" s="161" t="s">
        <v>212</v>
      </c>
      <c r="C26" s="184">
        <v>3.6</v>
      </c>
      <c r="D26" s="162" t="s">
        <v>207</v>
      </c>
    </row>
    <row r="27" spans="2:12">
      <c r="B27" s="161" t="s">
        <v>213</v>
      </c>
      <c r="C27" s="185">
        <v>0.27700000000000002</v>
      </c>
      <c r="D27" s="162" t="s">
        <v>214</v>
      </c>
    </row>
  </sheetData>
  <mergeCells count="7">
    <mergeCell ref="B25:D25"/>
    <mergeCell ref="J4:J5"/>
    <mergeCell ref="B3:L3"/>
    <mergeCell ref="C4:C5"/>
    <mergeCell ref="D4:D5"/>
    <mergeCell ref="E4:E5"/>
    <mergeCell ref="B4:B5"/>
  </mergeCells>
  <pageMargins left="0.7" right="0.7" top="0.75" bottom="0.75" header="0.3" footer="0.3"/>
  <pageSetup paperSize="9" scale="50" fitToHeight="0" orientation="landscape" r:id="rId1"/>
  <ignoredErrors>
    <ignoredError sqref="K4 K6:K7 K9 K11:K2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I14"/>
  <sheetViews>
    <sheetView showGridLines="0" view="pageBreakPreview" zoomScale="80" zoomScaleNormal="100" zoomScaleSheetLayoutView="80" workbookViewId="0">
      <selection activeCell="E16" sqref="E16"/>
    </sheetView>
  </sheetViews>
  <sheetFormatPr defaultRowHeight="15"/>
  <cols>
    <col min="1" max="1" width="5.125" style="6" customWidth="1"/>
    <col min="2" max="5" width="17.5" style="6" customWidth="1"/>
    <col min="6" max="6" width="6.125" style="6" customWidth="1"/>
    <col min="7" max="16384" width="9" style="6"/>
  </cols>
  <sheetData>
    <row r="1" spans="2:9" ht="15.75" thickBot="1">
      <c r="B1" s="191"/>
      <c r="C1" s="191"/>
      <c r="D1" s="191"/>
      <c r="E1" s="191"/>
      <c r="F1" s="191"/>
      <c r="G1" s="191"/>
      <c r="H1" s="191"/>
      <c r="I1" s="191"/>
    </row>
    <row r="2" spans="2:9" ht="15.75" thickBot="1">
      <c r="B2" s="907" t="s">
        <v>390</v>
      </c>
      <c r="C2" s="908"/>
      <c r="D2" s="908"/>
      <c r="E2" s="908"/>
      <c r="F2" s="908"/>
      <c r="G2" s="908"/>
      <c r="H2" s="908"/>
      <c r="I2" s="909"/>
    </row>
    <row r="3" spans="2:9" ht="15.75" thickBot="1">
      <c r="B3" s="903"/>
      <c r="C3" s="903"/>
      <c r="D3" s="903"/>
      <c r="E3" s="903"/>
      <c r="F3" s="903"/>
      <c r="G3" s="903"/>
      <c r="H3" s="903"/>
      <c r="I3" s="203"/>
    </row>
    <row r="4" spans="2:9" ht="15.75" thickBot="1">
      <c r="B4" s="904" t="s">
        <v>320</v>
      </c>
      <c r="C4" s="905"/>
      <c r="D4" s="906"/>
      <c r="E4" s="193"/>
      <c r="F4" s="193"/>
      <c r="G4" s="854" t="s">
        <v>211</v>
      </c>
      <c r="H4" s="855"/>
      <c r="I4" s="856"/>
    </row>
    <row r="5" spans="2:9" ht="27.75" thickBot="1">
      <c r="B5" s="208" t="s">
        <v>52</v>
      </c>
      <c r="C5" s="209" t="s">
        <v>321</v>
      </c>
      <c r="D5" s="210" t="s">
        <v>323</v>
      </c>
      <c r="E5" s="211" t="s">
        <v>325</v>
      </c>
      <c r="F5" s="191"/>
      <c r="G5" s="212" t="s">
        <v>212</v>
      </c>
      <c r="H5" s="207">
        <v>3.6</v>
      </c>
      <c r="I5" s="192" t="s">
        <v>207</v>
      </c>
    </row>
    <row r="6" spans="2:9" ht="15.75" thickBot="1">
      <c r="B6" s="194">
        <v>1282</v>
      </c>
      <c r="C6" s="195">
        <f>B6*H5</f>
        <v>4615.2</v>
      </c>
      <c r="D6" s="196">
        <f>Wskaźniki!C7</f>
        <v>0.81200000000000006</v>
      </c>
      <c r="E6" s="197">
        <f>B6*D6</f>
        <v>1040.9840000000002</v>
      </c>
      <c r="F6" s="191"/>
      <c r="G6" s="213" t="s">
        <v>213</v>
      </c>
      <c r="H6" s="204">
        <v>0.27700000000000002</v>
      </c>
      <c r="I6" s="205" t="s">
        <v>214</v>
      </c>
    </row>
    <row r="7" spans="2:9" ht="15.75" thickBot="1">
      <c r="B7" s="214">
        <f>SUM(B6)</f>
        <v>1282</v>
      </c>
      <c r="C7" s="215">
        <f>SUM(C6)</f>
        <v>4615.2</v>
      </c>
      <c r="D7" s="206"/>
      <c r="E7" s="214">
        <f>SUM(E6)</f>
        <v>1040.9840000000002</v>
      </c>
      <c r="F7" s="191"/>
      <c r="G7" s="191"/>
      <c r="H7" s="191"/>
      <c r="I7" s="191"/>
    </row>
    <row r="8" spans="2:9">
      <c r="B8" s="198"/>
      <c r="C8" s="198"/>
      <c r="D8" s="206"/>
      <c r="E8" s="206"/>
      <c r="F8" s="206"/>
      <c r="G8" s="206"/>
      <c r="H8" s="206"/>
      <c r="I8" s="191"/>
    </row>
    <row r="9" spans="2:9">
      <c r="B9" s="206"/>
      <c r="C9" s="206"/>
      <c r="D9" s="206"/>
      <c r="E9" s="206"/>
      <c r="F9" s="206"/>
      <c r="G9" s="206"/>
      <c r="H9" s="206"/>
      <c r="I9" s="191"/>
    </row>
    <row r="10" spans="2:9" ht="15.75" thickBot="1">
      <c r="B10" s="191"/>
      <c r="C10" s="191"/>
      <c r="D10" s="191"/>
      <c r="E10" s="191"/>
      <c r="F10" s="191"/>
      <c r="G10" s="191"/>
      <c r="H10" s="191"/>
      <c r="I10" s="191"/>
    </row>
    <row r="11" spans="2:9" ht="15.75" thickBot="1">
      <c r="B11" s="900" t="s">
        <v>322</v>
      </c>
      <c r="C11" s="901"/>
      <c r="D11" s="902"/>
      <c r="E11" s="193"/>
      <c r="F11" s="193"/>
      <c r="G11" s="193"/>
      <c r="H11" s="193"/>
      <c r="I11" s="191"/>
    </row>
    <row r="12" spans="2:9" ht="27.75" thickBot="1">
      <c r="B12" s="208" t="s">
        <v>52</v>
      </c>
      <c r="C12" s="209" t="s">
        <v>321</v>
      </c>
      <c r="D12" s="210" t="s">
        <v>324</v>
      </c>
      <c r="E12" s="211" t="s">
        <v>325</v>
      </c>
      <c r="F12" s="191"/>
      <c r="G12" s="191"/>
      <c r="H12" s="191"/>
      <c r="I12" s="191"/>
    </row>
    <row r="13" spans="2:9" ht="15.75" thickBot="1">
      <c r="B13" s="199">
        <f>B6</f>
        <v>1282</v>
      </c>
      <c r="C13" s="200">
        <f>B13*H5</f>
        <v>4615.2</v>
      </c>
      <c r="D13" s="201">
        <v>0.81200000000000006</v>
      </c>
      <c r="E13" s="202">
        <f>B13*D13</f>
        <v>1040.9840000000002</v>
      </c>
      <c r="F13" s="191"/>
      <c r="G13" s="191"/>
      <c r="H13" s="191"/>
      <c r="I13" s="191"/>
    </row>
    <row r="14" spans="2:9" ht="15.75" thickBot="1">
      <c r="B14" s="214">
        <f>SUM(B13)</f>
        <v>1282</v>
      </c>
      <c r="C14" s="214">
        <f>SUM(C13)</f>
        <v>4615.2</v>
      </c>
      <c r="D14" s="206"/>
      <c r="E14" s="216">
        <f>SUM(E13)</f>
        <v>1040.9840000000002</v>
      </c>
      <c r="F14" s="191"/>
      <c r="G14" s="191"/>
      <c r="H14" s="191"/>
      <c r="I14" s="191"/>
    </row>
  </sheetData>
  <mergeCells count="5">
    <mergeCell ref="B11:D11"/>
    <mergeCell ref="B3:H3"/>
    <mergeCell ref="B4:D4"/>
    <mergeCell ref="G4:I4"/>
    <mergeCell ref="B2:I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I14"/>
  <sheetViews>
    <sheetView showGridLines="0" view="pageBreakPreview" zoomScale="90" zoomScaleNormal="100" zoomScaleSheetLayoutView="90" workbookViewId="0">
      <selection activeCell="C5" sqref="C5"/>
    </sheetView>
  </sheetViews>
  <sheetFormatPr defaultRowHeight="15"/>
  <cols>
    <col min="1" max="1" width="5.125" style="6" customWidth="1"/>
    <col min="2" max="5" width="17.5" style="6" customWidth="1"/>
    <col min="6" max="6" width="6.125" style="6" customWidth="1"/>
    <col min="7" max="16384" width="9" style="6"/>
  </cols>
  <sheetData>
    <row r="1" spans="2:9" ht="15.75" thickBot="1">
      <c r="B1" s="229"/>
      <c r="C1" s="229"/>
      <c r="D1" s="229"/>
      <c r="E1" s="229"/>
      <c r="F1" s="229"/>
      <c r="G1" s="229"/>
      <c r="H1" s="229"/>
      <c r="I1" s="229"/>
    </row>
    <row r="2" spans="2:9" ht="15.75" thickBot="1">
      <c r="B2" s="907" t="s">
        <v>390</v>
      </c>
      <c r="C2" s="908"/>
      <c r="D2" s="908"/>
      <c r="E2" s="908"/>
      <c r="F2" s="908"/>
      <c r="G2" s="908"/>
      <c r="H2" s="908"/>
      <c r="I2" s="909"/>
    </row>
    <row r="3" spans="2:9" ht="15.75" thickBot="1">
      <c r="B3" s="903"/>
      <c r="C3" s="903"/>
      <c r="D3" s="903"/>
      <c r="E3" s="903"/>
      <c r="F3" s="903"/>
      <c r="G3" s="903"/>
      <c r="H3" s="903"/>
      <c r="I3" s="203"/>
    </row>
    <row r="4" spans="2:9" ht="15.75" thickBot="1">
      <c r="B4" s="904" t="s">
        <v>320</v>
      </c>
      <c r="C4" s="905"/>
      <c r="D4" s="906"/>
      <c r="E4" s="193"/>
      <c r="F4" s="193"/>
      <c r="G4" s="854" t="s">
        <v>211</v>
      </c>
      <c r="H4" s="855"/>
      <c r="I4" s="856"/>
    </row>
    <row r="5" spans="2:9" ht="27.75" thickBot="1">
      <c r="B5" s="208" t="s">
        <v>52</v>
      </c>
      <c r="C5" s="209" t="s">
        <v>321</v>
      </c>
      <c r="D5" s="210" t="s">
        <v>323</v>
      </c>
      <c r="E5" s="211" t="s">
        <v>325</v>
      </c>
      <c r="F5" s="229"/>
      <c r="G5" s="212" t="s">
        <v>212</v>
      </c>
      <c r="H5" s="207">
        <v>3.6</v>
      </c>
      <c r="I5" s="192" t="s">
        <v>207</v>
      </c>
    </row>
    <row r="6" spans="2:9" ht="15.75" thickBot="1">
      <c r="B6" s="194">
        <v>1282</v>
      </c>
      <c r="C6" s="195">
        <f>B6*H5</f>
        <v>4615.2</v>
      </c>
      <c r="D6" s="196">
        <f>Wskaźniki!C7</f>
        <v>0.81200000000000006</v>
      </c>
      <c r="E6" s="197">
        <f>B6*D6</f>
        <v>1040.9840000000002</v>
      </c>
      <c r="F6" s="229"/>
      <c r="G6" s="213" t="s">
        <v>213</v>
      </c>
      <c r="H6" s="204">
        <v>0.27700000000000002</v>
      </c>
      <c r="I6" s="205" t="s">
        <v>214</v>
      </c>
    </row>
    <row r="7" spans="2:9" ht="15.75" thickBot="1">
      <c r="B7" s="214">
        <f>SUM(B6)</f>
        <v>1282</v>
      </c>
      <c r="C7" s="215">
        <f>SUM(C6)</f>
        <v>4615.2</v>
      </c>
      <c r="D7" s="206"/>
      <c r="E7" s="214">
        <f>SUM(E6)</f>
        <v>1040.9840000000002</v>
      </c>
      <c r="F7" s="229"/>
      <c r="G7" s="229"/>
      <c r="H7" s="229"/>
      <c r="I7" s="229"/>
    </row>
    <row r="8" spans="2:9">
      <c r="B8" s="198"/>
      <c r="C8" s="198"/>
      <c r="D8" s="206"/>
      <c r="E8" s="206"/>
      <c r="F8" s="206"/>
      <c r="G8" s="206"/>
      <c r="H8" s="206"/>
      <c r="I8" s="229"/>
    </row>
    <row r="9" spans="2:9">
      <c r="B9" s="206"/>
      <c r="C9" s="206"/>
      <c r="D9" s="206"/>
      <c r="E9" s="206"/>
      <c r="F9" s="206"/>
      <c r="G9" s="206"/>
      <c r="H9" s="206"/>
      <c r="I9" s="229"/>
    </row>
    <row r="10" spans="2:9" ht="15.75" thickBot="1">
      <c r="B10" s="229"/>
      <c r="C10" s="229"/>
      <c r="D10" s="229"/>
      <c r="E10" s="229"/>
      <c r="F10" s="229"/>
      <c r="G10" s="229"/>
      <c r="H10" s="229"/>
      <c r="I10" s="229"/>
    </row>
    <row r="11" spans="2:9" ht="15.75" thickBot="1">
      <c r="B11" s="900" t="s">
        <v>597</v>
      </c>
      <c r="C11" s="901"/>
      <c r="D11" s="902"/>
      <c r="E11" s="193"/>
      <c r="F11" s="193"/>
      <c r="G11" s="193"/>
      <c r="H11" s="193"/>
      <c r="I11" s="229"/>
    </row>
    <row r="12" spans="2:9" ht="27.75" thickBot="1">
      <c r="B12" s="208" t="s">
        <v>52</v>
      </c>
      <c r="C12" s="209" t="s">
        <v>321</v>
      </c>
      <c r="D12" s="210" t="s">
        <v>324</v>
      </c>
      <c r="E12" s="211" t="s">
        <v>325</v>
      </c>
      <c r="F12" s="229"/>
      <c r="G12" s="229"/>
      <c r="H12" s="229"/>
      <c r="I12" s="229"/>
    </row>
    <row r="13" spans="2:9" ht="15.75" thickBot="1">
      <c r="B13" s="199">
        <f>B6+(B6*Charakterystyka_2024!R67)</f>
        <v>1297.3316804114618</v>
      </c>
      <c r="C13" s="200">
        <f>B13*H5</f>
        <v>4670.3940494812623</v>
      </c>
      <c r="D13" s="201">
        <v>0.81200000000000006</v>
      </c>
      <c r="E13" s="202">
        <f>B13*D13</f>
        <v>1053.433324494107</v>
      </c>
      <c r="F13" s="229"/>
      <c r="G13" s="229"/>
      <c r="H13" s="229"/>
      <c r="I13" s="229"/>
    </row>
    <row r="14" spans="2:9" ht="15.75" thickBot="1">
      <c r="B14" s="214">
        <f>SUM(B13)</f>
        <v>1297.3316804114618</v>
      </c>
      <c r="C14" s="214">
        <f>SUM(C13)</f>
        <v>4670.3940494812623</v>
      </c>
      <c r="D14" s="206"/>
      <c r="E14" s="216">
        <f>SUM(E13)</f>
        <v>1053.433324494107</v>
      </c>
      <c r="F14" s="229"/>
      <c r="G14" s="229"/>
      <c r="H14" s="229"/>
      <c r="I14" s="229"/>
    </row>
  </sheetData>
  <mergeCells count="5">
    <mergeCell ref="B2:I2"/>
    <mergeCell ref="B3:H3"/>
    <mergeCell ref="B4:D4"/>
    <mergeCell ref="G4:I4"/>
    <mergeCell ref="B11:D1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F29"/>
  <sheetViews>
    <sheetView view="pageBreakPreview" topLeftCell="A22" zoomScaleNormal="80" zoomScaleSheetLayoutView="100" workbookViewId="0">
      <selection activeCell="C5" sqref="C5"/>
    </sheetView>
  </sheetViews>
  <sheetFormatPr defaultRowHeight="15"/>
  <cols>
    <col min="1" max="1" width="2.5" style="6" customWidth="1"/>
    <col min="2" max="2" width="26.125" style="6" bestFit="1" customWidth="1"/>
    <col min="3" max="4" width="13.625" style="6" customWidth="1"/>
    <col min="5" max="5" width="43" style="86" customWidth="1"/>
    <col min="6" max="6" width="51.375" style="6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6" s="9" customFormat="1" ht="15" customHeight="1" thickBot="1">
      <c r="E1" s="85"/>
    </row>
    <row r="2" spans="2:6" s="9" customFormat="1" ht="19.5" thickBot="1">
      <c r="B2" s="10" t="s">
        <v>56</v>
      </c>
      <c r="C2" s="11"/>
      <c r="D2" s="11"/>
      <c r="E2" s="12"/>
    </row>
    <row r="3" spans="2:6" s="9" customFormat="1" ht="15" customHeight="1" thickBot="1">
      <c r="E3" s="85"/>
    </row>
    <row r="4" spans="2:6" s="9" customFormat="1" ht="15" customHeight="1" thickBot="1">
      <c r="B4" s="71" t="s">
        <v>70</v>
      </c>
      <c r="E4" s="85"/>
    </row>
    <row r="5" spans="2:6" ht="30">
      <c r="B5" s="72"/>
      <c r="C5" s="81" t="s">
        <v>87</v>
      </c>
      <c r="D5" s="81" t="s">
        <v>67</v>
      </c>
      <c r="E5" s="73" t="s">
        <v>61</v>
      </c>
      <c r="F5" s="9"/>
    </row>
    <row r="6" spans="2:6" ht="60">
      <c r="B6" s="74" t="s">
        <v>57</v>
      </c>
      <c r="C6" s="82">
        <v>0.22600000000000001</v>
      </c>
      <c r="D6" s="82" t="s">
        <v>68</v>
      </c>
      <c r="E6" s="80" t="s">
        <v>74</v>
      </c>
    </row>
    <row r="7" spans="2:6" ht="60">
      <c r="B7" s="74" t="s">
        <v>57</v>
      </c>
      <c r="C7" s="82">
        <v>0.81200000000000006</v>
      </c>
      <c r="D7" s="82" t="s">
        <v>75</v>
      </c>
      <c r="E7" s="80" t="s">
        <v>74</v>
      </c>
    </row>
    <row r="8" spans="2:6" ht="45">
      <c r="B8" s="74" t="s">
        <v>58</v>
      </c>
      <c r="C8" s="83">
        <v>9.4729999999999995E-2</v>
      </c>
      <c r="D8" s="82" t="s">
        <v>68</v>
      </c>
      <c r="E8" s="91" t="s">
        <v>76</v>
      </c>
    </row>
    <row r="9" spans="2:6" ht="45">
      <c r="B9" s="74" t="s">
        <v>59</v>
      </c>
      <c r="C9" s="83">
        <v>7.6590000000000005E-2</v>
      </c>
      <c r="D9" s="82" t="s">
        <v>68</v>
      </c>
      <c r="E9" s="91" t="s">
        <v>76</v>
      </c>
    </row>
    <row r="10" spans="2:6" ht="45">
      <c r="B10" s="74" t="s">
        <v>59</v>
      </c>
      <c r="C10" s="567">
        <v>3.5700000000000003E-2</v>
      </c>
      <c r="D10" s="82" t="s">
        <v>505</v>
      </c>
      <c r="E10" s="91" t="s">
        <v>76</v>
      </c>
    </row>
    <row r="11" spans="2:6" ht="45">
      <c r="B11" s="74" t="s">
        <v>41</v>
      </c>
      <c r="C11" s="83">
        <v>3.6119999999999999E-2</v>
      </c>
      <c r="D11" s="82" t="s">
        <v>78</v>
      </c>
      <c r="E11" s="91" t="s">
        <v>76</v>
      </c>
    </row>
    <row r="12" spans="2:6" ht="45">
      <c r="B12" s="74" t="s">
        <v>41</v>
      </c>
      <c r="C12" s="83">
        <v>5.5820000000000002E-2</v>
      </c>
      <c r="D12" s="82" t="s">
        <v>68</v>
      </c>
      <c r="E12" s="91" t="s">
        <v>76</v>
      </c>
    </row>
    <row r="13" spans="2:6" ht="42.75" customHeight="1">
      <c r="B13" s="74" t="s">
        <v>60</v>
      </c>
      <c r="C13" s="83">
        <v>0.09</v>
      </c>
      <c r="D13" s="82" t="s">
        <v>68</v>
      </c>
      <c r="E13" s="91" t="s">
        <v>73</v>
      </c>
    </row>
    <row r="14" spans="2:6" ht="45">
      <c r="B14" s="74" t="s">
        <v>79</v>
      </c>
      <c r="C14" s="75">
        <v>4.7309999999999998E-2</v>
      </c>
      <c r="D14" s="82" t="s">
        <v>80</v>
      </c>
      <c r="E14" s="91" t="s">
        <v>76</v>
      </c>
    </row>
    <row r="15" spans="2:6" ht="45">
      <c r="B15" s="74" t="s">
        <v>79</v>
      </c>
      <c r="C15" s="83">
        <v>6.2440000000000002E-2</v>
      </c>
      <c r="D15" s="82" t="s">
        <v>68</v>
      </c>
      <c r="E15" s="91" t="s">
        <v>76</v>
      </c>
    </row>
    <row r="16" spans="2:6" ht="45">
      <c r="B16" s="74" t="s">
        <v>79</v>
      </c>
      <c r="C16" s="75">
        <v>0.56200000000000006</v>
      </c>
      <c r="D16" s="82" t="s">
        <v>85</v>
      </c>
      <c r="E16" s="91" t="s">
        <v>84</v>
      </c>
    </row>
    <row r="17" spans="2:5" ht="45">
      <c r="B17" s="74" t="s">
        <v>19</v>
      </c>
      <c r="C17" s="83">
        <v>4.48E-2</v>
      </c>
      <c r="D17" s="82" t="s">
        <v>80</v>
      </c>
      <c r="E17" s="91" t="s">
        <v>76</v>
      </c>
    </row>
    <row r="18" spans="2:5" ht="45">
      <c r="B18" s="74" t="s">
        <v>19</v>
      </c>
      <c r="C18" s="83">
        <v>6.8610000000000004E-2</v>
      </c>
      <c r="D18" s="82" t="s">
        <v>68</v>
      </c>
      <c r="E18" s="91" t="s">
        <v>76</v>
      </c>
    </row>
    <row r="19" spans="2:5" ht="45">
      <c r="B19" s="74" t="s">
        <v>19</v>
      </c>
      <c r="C19" s="75">
        <v>0.72</v>
      </c>
      <c r="D19" s="82" t="s">
        <v>85</v>
      </c>
      <c r="E19" s="91" t="s">
        <v>82</v>
      </c>
    </row>
    <row r="20" spans="2:5" ht="45">
      <c r="B20" s="74" t="s">
        <v>81</v>
      </c>
      <c r="C20" s="83">
        <v>4.333E-2</v>
      </c>
      <c r="D20" s="82" t="s">
        <v>80</v>
      </c>
      <c r="E20" s="91" t="s">
        <v>76</v>
      </c>
    </row>
    <row r="21" spans="2:5" ht="45">
      <c r="B21" s="74" t="s">
        <v>81</v>
      </c>
      <c r="C21" s="83">
        <v>7.3330000000000006E-2</v>
      </c>
      <c r="D21" s="82" t="s">
        <v>68</v>
      </c>
      <c r="E21" s="91" t="s">
        <v>76</v>
      </c>
    </row>
    <row r="22" spans="2:5" ht="45">
      <c r="B22" s="74" t="s">
        <v>81</v>
      </c>
      <c r="C22" s="83">
        <v>0.82</v>
      </c>
      <c r="D22" s="82" t="s">
        <v>85</v>
      </c>
      <c r="E22" s="91" t="s">
        <v>83</v>
      </c>
    </row>
    <row r="23" spans="2:5" ht="37.5" customHeight="1">
      <c r="B23" s="74" t="s">
        <v>64</v>
      </c>
      <c r="C23" s="83">
        <v>155</v>
      </c>
      <c r="D23" s="82" t="s">
        <v>69</v>
      </c>
      <c r="E23" s="91" t="s">
        <v>77</v>
      </c>
    </row>
    <row r="24" spans="2:5" ht="37.5" customHeight="1">
      <c r="B24" s="74" t="s">
        <v>65</v>
      </c>
      <c r="C24" s="83">
        <v>200</v>
      </c>
      <c r="D24" s="82" t="s">
        <v>69</v>
      </c>
      <c r="E24" s="91" t="s">
        <v>77</v>
      </c>
    </row>
    <row r="25" spans="2:5" ht="37.5" customHeight="1">
      <c r="B25" s="74" t="s">
        <v>18</v>
      </c>
      <c r="C25" s="83">
        <v>450</v>
      </c>
      <c r="D25" s="82" t="s">
        <v>69</v>
      </c>
      <c r="E25" s="91" t="s">
        <v>77</v>
      </c>
    </row>
    <row r="26" spans="2:5" ht="37.5" customHeight="1">
      <c r="B26" s="74" t="s">
        <v>66</v>
      </c>
      <c r="C26" s="83">
        <v>900</v>
      </c>
      <c r="D26" s="82" t="s">
        <v>69</v>
      </c>
      <c r="E26" s="91" t="s">
        <v>77</v>
      </c>
    </row>
    <row r="27" spans="2:5" ht="37.5" customHeight="1" thickBot="1">
      <c r="B27" s="76" t="s">
        <v>20</v>
      </c>
      <c r="C27" s="84">
        <v>450</v>
      </c>
      <c r="D27" s="92" t="s">
        <v>69</v>
      </c>
      <c r="E27" s="93" t="s">
        <v>77</v>
      </c>
    </row>
    <row r="28" spans="2:5">
      <c r="B28" s="74" t="s">
        <v>361</v>
      </c>
      <c r="C28" s="83">
        <v>16.5</v>
      </c>
      <c r="D28" s="82" t="s">
        <v>556</v>
      </c>
      <c r="E28" s="91" t="s">
        <v>555</v>
      </c>
    </row>
    <row r="29" spans="2:5" ht="15.75" thickBot="1">
      <c r="B29" s="76" t="s">
        <v>361</v>
      </c>
      <c r="C29" s="84">
        <v>650</v>
      </c>
      <c r="D29" s="92" t="s">
        <v>557</v>
      </c>
      <c r="E29" s="93" t="s">
        <v>558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4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P34"/>
  <sheetViews>
    <sheetView showGridLines="0" view="pageBreakPreview" topLeftCell="A13" zoomScale="85" zoomScaleNormal="70" zoomScaleSheetLayoutView="85" workbookViewId="0">
      <selection activeCell="I16" sqref="I16"/>
    </sheetView>
  </sheetViews>
  <sheetFormatPr defaultColWidth="10.875" defaultRowHeight="15"/>
  <cols>
    <col min="1" max="1" width="3.875" style="116" customWidth="1"/>
    <col min="2" max="16384" width="10.875" style="116"/>
  </cols>
  <sheetData>
    <row r="2" spans="2:16" ht="38.25">
      <c r="B2" s="240">
        <v>2014</v>
      </c>
      <c r="C2" s="240" t="s">
        <v>329</v>
      </c>
      <c r="D2" s="240" t="s">
        <v>330</v>
      </c>
      <c r="E2" s="240" t="s">
        <v>331</v>
      </c>
      <c r="F2" s="240" t="s">
        <v>332</v>
      </c>
      <c r="G2" s="240" t="s">
        <v>333</v>
      </c>
      <c r="H2" s="240" t="s">
        <v>334</v>
      </c>
      <c r="I2" s="240" t="s">
        <v>335</v>
      </c>
      <c r="J2" s="240" t="s">
        <v>13</v>
      </c>
      <c r="K2" s="240" t="s">
        <v>336</v>
      </c>
      <c r="L2" s="240" t="s">
        <v>337</v>
      </c>
      <c r="M2" s="240" t="s">
        <v>317</v>
      </c>
      <c r="N2" s="219"/>
    </row>
    <row r="3" spans="2:16">
      <c r="B3" s="910" t="s">
        <v>17</v>
      </c>
      <c r="C3" s="911">
        <v>322</v>
      </c>
      <c r="D3" s="232">
        <v>322</v>
      </c>
      <c r="E3" s="221" t="s">
        <v>19</v>
      </c>
      <c r="F3" s="221">
        <v>0.72</v>
      </c>
      <c r="G3" s="221">
        <v>5000</v>
      </c>
      <c r="H3" s="221">
        <v>0.04</v>
      </c>
      <c r="I3" s="221">
        <v>4.478E-2</v>
      </c>
      <c r="J3" s="221">
        <f>Wskaźniki!$C$18</f>
        <v>6.8610000000000004E-2</v>
      </c>
      <c r="K3" s="220">
        <f>D3*F3*G3*H3*I3</f>
        <v>2076.3590399999998</v>
      </c>
      <c r="L3" s="220">
        <f>K3*$C$13</f>
        <v>575.15145408000001</v>
      </c>
      <c r="M3" s="220">
        <f>K3*J3</f>
        <v>142.4589937344</v>
      </c>
      <c r="N3" s="219"/>
    </row>
    <row r="4" spans="2:16">
      <c r="B4" s="910"/>
      <c r="C4" s="912"/>
      <c r="D4" s="222">
        <v>0</v>
      </c>
      <c r="E4" s="221" t="s">
        <v>339</v>
      </c>
      <c r="F4" s="221">
        <v>0.82</v>
      </c>
      <c r="G4" s="221">
        <v>5000</v>
      </c>
      <c r="H4" s="221">
        <v>0.04</v>
      </c>
      <c r="I4" s="221">
        <v>4.333E-2</v>
      </c>
      <c r="J4" s="221">
        <f>Wskaźniki!$C$21</f>
        <v>7.3330000000000006E-2</v>
      </c>
      <c r="K4" s="230">
        <f t="shared" ref="K4:K8" si="0">D4*F4*G4*H4*I4</f>
        <v>0</v>
      </c>
      <c r="L4" s="230">
        <f t="shared" ref="L4:L8" si="1">K4*$C$13</f>
        <v>0</v>
      </c>
      <c r="M4" s="230">
        <f t="shared" ref="M4:M8" si="2">K4*J4</f>
        <v>0</v>
      </c>
      <c r="N4" s="219"/>
    </row>
    <row r="5" spans="2:16">
      <c r="B5" s="910"/>
      <c r="C5" s="913"/>
      <c r="D5" s="222">
        <v>0</v>
      </c>
      <c r="E5" s="221" t="s">
        <v>341</v>
      </c>
      <c r="F5" s="221">
        <v>0.56200000000000006</v>
      </c>
      <c r="G5" s="221">
        <v>5000</v>
      </c>
      <c r="H5" s="221">
        <v>0</v>
      </c>
      <c r="I5" s="221">
        <v>4.7309999999999998E-2</v>
      </c>
      <c r="J5" s="221">
        <f>Wskaźniki!$C$15</f>
        <v>6.2440000000000002E-2</v>
      </c>
      <c r="K5" s="230">
        <f t="shared" si="0"/>
        <v>0</v>
      </c>
      <c r="L5" s="230">
        <f t="shared" si="1"/>
        <v>0</v>
      </c>
      <c r="M5" s="230">
        <f t="shared" si="2"/>
        <v>0</v>
      </c>
      <c r="N5" s="219"/>
    </row>
    <row r="6" spans="2:16">
      <c r="B6" s="910" t="s">
        <v>343</v>
      </c>
      <c r="C6" s="911">
        <v>5317</v>
      </c>
      <c r="D6" s="222">
        <v>1542</v>
      </c>
      <c r="E6" s="221" t="s">
        <v>19</v>
      </c>
      <c r="F6" s="221">
        <v>0.72</v>
      </c>
      <c r="G6" s="221">
        <v>5876</v>
      </c>
      <c r="H6" s="221">
        <v>0.08</v>
      </c>
      <c r="I6" s="221">
        <v>4.478E-2</v>
      </c>
      <c r="J6" s="221">
        <f>Wskaźniki!$C$18</f>
        <v>6.8610000000000004E-2</v>
      </c>
      <c r="K6" s="230">
        <f t="shared" si="0"/>
        <v>23370.754507776001</v>
      </c>
      <c r="L6" s="230">
        <f t="shared" si="1"/>
        <v>6473.6989986539529</v>
      </c>
      <c r="M6" s="230">
        <f t="shared" si="2"/>
        <v>1603.4674667785116</v>
      </c>
      <c r="N6" s="219"/>
    </row>
    <row r="7" spans="2:16">
      <c r="B7" s="910"/>
      <c r="C7" s="912"/>
      <c r="D7" s="222">
        <v>3722</v>
      </c>
      <c r="E7" s="221" t="s">
        <v>339</v>
      </c>
      <c r="F7" s="221">
        <v>0.82</v>
      </c>
      <c r="G7" s="221">
        <v>12016</v>
      </c>
      <c r="H7" s="221">
        <v>7.0999999999999994E-2</v>
      </c>
      <c r="I7" s="221">
        <v>4.333E-2</v>
      </c>
      <c r="J7" s="221">
        <f>Wskaźniki!$C$21</f>
        <v>7.3330000000000006E-2</v>
      </c>
      <c r="K7" s="230">
        <f t="shared" si="0"/>
        <v>112822.87920507519</v>
      </c>
      <c r="L7" s="230">
        <f t="shared" si="1"/>
        <v>31251.937539805833</v>
      </c>
      <c r="M7" s="230">
        <f t="shared" si="2"/>
        <v>8273.3017321081643</v>
      </c>
      <c r="N7" s="219"/>
      <c r="O7" s="219"/>
      <c r="P7" s="219"/>
    </row>
    <row r="8" spans="2:16">
      <c r="B8" s="910"/>
      <c r="C8" s="913"/>
      <c r="D8" s="222">
        <v>53</v>
      </c>
      <c r="E8" s="221" t="s">
        <v>341</v>
      </c>
      <c r="F8" s="221">
        <v>0.56200000000000006</v>
      </c>
      <c r="G8" s="221">
        <v>10093</v>
      </c>
      <c r="H8" s="221">
        <v>0.10199999999999999</v>
      </c>
      <c r="I8" s="221">
        <v>4.7309999999999998E-2</v>
      </c>
      <c r="J8" s="221">
        <f>Wskaźniki!$C$15</f>
        <v>6.2440000000000002E-2</v>
      </c>
      <c r="K8" s="230">
        <f t="shared" si="0"/>
        <v>1450.72661351076</v>
      </c>
      <c r="L8" s="230">
        <f t="shared" si="1"/>
        <v>401.85127194248054</v>
      </c>
      <c r="M8" s="230">
        <f t="shared" si="2"/>
        <v>90.583369747611854</v>
      </c>
      <c r="N8" s="219"/>
      <c r="O8" s="219"/>
      <c r="P8" s="219"/>
    </row>
    <row r="9" spans="2:16">
      <c r="B9" s="910" t="s">
        <v>3</v>
      </c>
      <c r="C9" s="910"/>
      <c r="D9" s="910"/>
      <c r="E9" s="910"/>
      <c r="F9" s="910"/>
      <c r="G9" s="910"/>
      <c r="H9" s="910"/>
      <c r="I9" s="910"/>
      <c r="J9" s="910"/>
      <c r="K9" s="241">
        <f>SUM(K3:K8)</f>
        <v>139720.71936636194</v>
      </c>
      <c r="L9" s="241">
        <f t="shared" ref="L9:M9" si="3">SUM(L3:L8)</f>
        <v>38702.63926448227</v>
      </c>
      <c r="M9" s="241">
        <f t="shared" si="3"/>
        <v>10109.811562368688</v>
      </c>
      <c r="N9" s="219"/>
      <c r="O9" s="219"/>
      <c r="P9" s="219"/>
    </row>
    <row r="10" spans="2:16">
      <c r="B10" s="219"/>
      <c r="C10" s="219"/>
      <c r="D10" s="224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</row>
    <row r="11" spans="2:16">
      <c r="B11" s="914" t="s">
        <v>211</v>
      </c>
      <c r="C11" s="914"/>
      <c r="D11" s="914"/>
      <c r="E11" s="223"/>
      <c r="F11" s="228"/>
      <c r="G11" s="219"/>
      <c r="H11" s="219"/>
      <c r="I11" s="219"/>
      <c r="J11" s="219"/>
      <c r="K11" s="219"/>
      <c r="L11" s="219"/>
      <c r="M11" s="219"/>
      <c r="N11" s="219"/>
      <c r="O11" s="219"/>
      <c r="P11" s="219"/>
    </row>
    <row r="12" spans="2:16">
      <c r="B12" s="225" t="s">
        <v>212</v>
      </c>
      <c r="C12" s="226">
        <v>3.6</v>
      </c>
      <c r="D12" s="226" t="s">
        <v>207</v>
      </c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  <row r="13" spans="2:16">
      <c r="B13" s="227" t="s">
        <v>213</v>
      </c>
      <c r="C13" s="226">
        <v>0.27700000000000002</v>
      </c>
      <c r="D13" s="226" t="s">
        <v>214</v>
      </c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</row>
    <row r="15" spans="2:16" ht="25.5">
      <c r="B15" s="910" t="s">
        <v>344</v>
      </c>
      <c r="C15" s="240" t="s">
        <v>329</v>
      </c>
      <c r="D15" s="240">
        <v>2014</v>
      </c>
      <c r="E15" s="240" t="s">
        <v>336</v>
      </c>
      <c r="F15" s="240" t="s">
        <v>337</v>
      </c>
      <c r="G15" s="240" t="s">
        <v>317</v>
      </c>
      <c r="H15" s="219"/>
      <c r="I15" s="219"/>
      <c r="J15" s="219"/>
      <c r="K15" s="219"/>
      <c r="L15" s="219"/>
      <c r="M15" s="219"/>
      <c r="N15" s="219"/>
    </row>
    <row r="16" spans="2:16">
      <c r="B16" s="910"/>
      <c r="C16" s="911">
        <f>C3+C6</f>
        <v>5639</v>
      </c>
      <c r="D16" s="221" t="s">
        <v>19</v>
      </c>
      <c r="E16" s="220">
        <f>K3+K6</f>
        <v>25447.113547776</v>
      </c>
      <c r="F16" s="220">
        <f>L3+L6</f>
        <v>7048.8504527339528</v>
      </c>
      <c r="G16" s="220">
        <f>M3+M6</f>
        <v>1745.9264605129115</v>
      </c>
      <c r="H16" s="219"/>
      <c r="I16" s="219"/>
      <c r="J16" s="219"/>
      <c r="K16" s="219"/>
      <c r="L16" s="219"/>
      <c r="M16" s="219"/>
      <c r="N16" s="219"/>
    </row>
    <row r="17" spans="2:13">
      <c r="B17" s="910"/>
      <c r="C17" s="912"/>
      <c r="D17" s="221" t="s">
        <v>339</v>
      </c>
      <c r="E17" s="220">
        <f>K4+K7</f>
        <v>112822.87920507519</v>
      </c>
      <c r="F17" s="220">
        <f>L4+L7</f>
        <v>31251.937539805833</v>
      </c>
      <c r="G17" s="230">
        <f t="shared" ref="G17:G18" si="4">M4+M7</f>
        <v>8273.3017321081643</v>
      </c>
      <c r="H17" s="219"/>
      <c r="I17" s="219"/>
      <c r="J17" s="219"/>
      <c r="K17" s="219"/>
    </row>
    <row r="18" spans="2:13">
      <c r="B18" s="910"/>
      <c r="C18" s="913"/>
      <c r="D18" s="221" t="s">
        <v>341</v>
      </c>
      <c r="E18" s="220">
        <f>K5+K8</f>
        <v>1450.72661351076</v>
      </c>
      <c r="F18" s="220">
        <f>L5+L8</f>
        <v>401.85127194248054</v>
      </c>
      <c r="G18" s="230">
        <f t="shared" si="4"/>
        <v>90.583369747611854</v>
      </c>
      <c r="H18" s="219"/>
      <c r="I18" s="219"/>
      <c r="J18" s="219"/>
      <c r="K18" s="219"/>
    </row>
    <row r="19" spans="2:13">
      <c r="B19" s="918" t="s">
        <v>3</v>
      </c>
      <c r="C19" s="919"/>
      <c r="D19" s="920"/>
      <c r="E19" s="241">
        <f>SUM(E16:E18)</f>
        <v>139720.71936636194</v>
      </c>
      <c r="F19" s="241">
        <f t="shared" ref="F19:G19" si="5">SUM(F16:F18)</f>
        <v>38702.63926448227</v>
      </c>
      <c r="G19" s="241">
        <f t="shared" si="5"/>
        <v>10109.811562368688</v>
      </c>
      <c r="H19" s="219"/>
      <c r="I19" s="219"/>
      <c r="J19" s="219"/>
      <c r="K19" s="219"/>
    </row>
    <row r="21" spans="2:13" ht="38.25">
      <c r="B21" s="240">
        <v>2020</v>
      </c>
      <c r="C21" s="240" t="s">
        <v>329</v>
      </c>
      <c r="D21" s="240" t="s">
        <v>330</v>
      </c>
      <c r="E21" s="240" t="s">
        <v>331</v>
      </c>
      <c r="F21" s="240" t="s">
        <v>332</v>
      </c>
      <c r="G21" s="240" t="s">
        <v>333</v>
      </c>
      <c r="H21" s="240" t="s">
        <v>334</v>
      </c>
      <c r="I21" s="240" t="s">
        <v>335</v>
      </c>
      <c r="J21" s="240" t="s">
        <v>13</v>
      </c>
      <c r="K21" s="240" t="s">
        <v>336</v>
      </c>
      <c r="L21" s="240" t="s">
        <v>337</v>
      </c>
      <c r="M21" s="240" t="s">
        <v>317</v>
      </c>
    </row>
    <row r="22" spans="2:13">
      <c r="B22" s="921" t="s">
        <v>17</v>
      </c>
      <c r="C22" s="915">
        <f>C3/Charakterystyka_2020!$L$9*Charakterystyka_2020!$AI$9</f>
        <v>318.21494542401342</v>
      </c>
      <c r="D22" s="222">
        <v>319</v>
      </c>
      <c r="E22" s="221" t="s">
        <v>19</v>
      </c>
      <c r="F22" s="221">
        <v>0.72</v>
      </c>
      <c r="G22" s="221">
        <v>5000</v>
      </c>
      <c r="H22" s="221">
        <v>0.04</v>
      </c>
      <c r="I22" s="221">
        <v>4.478E-2</v>
      </c>
      <c r="J22" s="221">
        <f>Wskaźniki!$C$18</f>
        <v>6.8610000000000004E-2</v>
      </c>
      <c r="K22" s="220">
        <f>D22*F22*G22*H22*I22</f>
        <v>2057.0140799999999</v>
      </c>
      <c r="L22" s="220">
        <f>K22*$C$13</f>
        <v>569.79290016000004</v>
      </c>
      <c r="M22" s="220">
        <f>K22*J22</f>
        <v>141.13173602879999</v>
      </c>
    </row>
    <row r="23" spans="2:13">
      <c r="B23" s="922"/>
      <c r="C23" s="916"/>
      <c r="D23" s="222">
        <v>0</v>
      </c>
      <c r="E23" s="221" t="s">
        <v>339</v>
      </c>
      <c r="F23" s="221">
        <v>0.82</v>
      </c>
      <c r="G23" s="221">
        <v>5000</v>
      </c>
      <c r="H23" s="221">
        <v>0.04</v>
      </c>
      <c r="I23" s="221">
        <v>4.333E-2</v>
      </c>
      <c r="J23" s="221">
        <f>Wskaźniki!$C$21</f>
        <v>7.3330000000000006E-2</v>
      </c>
      <c r="K23" s="220">
        <f t="shared" ref="K23:K27" si="6">D23*F23*G23*H23*I23</f>
        <v>0</v>
      </c>
      <c r="L23" s="220">
        <f t="shared" ref="L23:L27" si="7">K23*$C$13</f>
        <v>0</v>
      </c>
      <c r="M23" s="220">
        <f t="shared" ref="M23:M27" si="8">K23*J23</f>
        <v>0</v>
      </c>
    </row>
    <row r="24" spans="2:13">
      <c r="B24" s="923"/>
      <c r="C24" s="917"/>
      <c r="D24" s="222">
        <v>0</v>
      </c>
      <c r="E24" s="221" t="s">
        <v>341</v>
      </c>
      <c r="F24" s="221">
        <v>0.56200000000000006</v>
      </c>
      <c r="G24" s="221">
        <v>5000</v>
      </c>
      <c r="H24" s="221">
        <v>0</v>
      </c>
      <c r="I24" s="221">
        <v>4.7309999999999998E-2</v>
      </c>
      <c r="J24" s="221">
        <f>Wskaźniki!$C$15</f>
        <v>6.2440000000000002E-2</v>
      </c>
      <c r="K24" s="220">
        <f t="shared" si="6"/>
        <v>0</v>
      </c>
      <c r="L24" s="220">
        <f t="shared" si="7"/>
        <v>0</v>
      </c>
      <c r="M24" s="220">
        <f t="shared" si="8"/>
        <v>0</v>
      </c>
    </row>
    <row r="25" spans="2:13">
      <c r="B25" s="921" t="s">
        <v>343</v>
      </c>
      <c r="C25" s="915">
        <f>D25+D26+D27</f>
        <v>5254.499580184719</v>
      </c>
      <c r="D25" s="222">
        <f>D6/Charakterystyka_2020!$L$9*Charakterystyka_2020!$AI$9</f>
        <v>1523.874055415617</v>
      </c>
      <c r="E25" s="221" t="s">
        <v>19</v>
      </c>
      <c r="F25" s="221">
        <v>0.72</v>
      </c>
      <c r="G25" s="221">
        <v>5876</v>
      </c>
      <c r="H25" s="221">
        <v>0.08</v>
      </c>
      <c r="I25" s="221">
        <v>4.478E-2</v>
      </c>
      <c r="J25" s="221">
        <f>Wskaźniki!$C$18</f>
        <v>6.8610000000000004E-2</v>
      </c>
      <c r="K25" s="220">
        <f t="shared" si="6"/>
        <v>23096.035311211042</v>
      </c>
      <c r="L25" s="220">
        <f t="shared" si="7"/>
        <v>6397.6017812054597</v>
      </c>
      <c r="M25" s="220">
        <f t="shared" si="8"/>
        <v>1584.6189827021897</v>
      </c>
    </row>
    <row r="26" spans="2:13">
      <c r="B26" s="922"/>
      <c r="C26" s="916"/>
      <c r="D26" s="222">
        <f>D7/Charakterystyka_2020!$L$9*Charakterystyka_2020!$AI$9</f>
        <v>3678.2485306465155</v>
      </c>
      <c r="E26" s="221" t="s">
        <v>339</v>
      </c>
      <c r="F26" s="221">
        <v>0.82</v>
      </c>
      <c r="G26" s="221">
        <v>12016</v>
      </c>
      <c r="H26" s="221">
        <v>7.0999999999999994E-2</v>
      </c>
      <c r="I26" s="221">
        <v>4.333E-2</v>
      </c>
      <c r="J26" s="221">
        <f>Wskaźniki!$C$21</f>
        <v>7.3330000000000006E-2</v>
      </c>
      <c r="K26" s="220">
        <f t="shared" si="6"/>
        <v>111496.66567957473</v>
      </c>
      <c r="L26" s="220">
        <f t="shared" si="7"/>
        <v>30884.576393242201</v>
      </c>
      <c r="M26" s="220">
        <f t="shared" si="8"/>
        <v>8176.0504942832149</v>
      </c>
    </row>
    <row r="27" spans="2:13">
      <c r="B27" s="923"/>
      <c r="C27" s="917"/>
      <c r="D27" s="222">
        <f>D8/Charakterystyka_2020!$L$9*Charakterystyka_2020!$AI$9</f>
        <v>52.376994122586062</v>
      </c>
      <c r="E27" s="221" t="s">
        <v>341</v>
      </c>
      <c r="F27" s="221">
        <v>0.56200000000000006</v>
      </c>
      <c r="G27" s="221">
        <v>10093</v>
      </c>
      <c r="H27" s="221">
        <v>0.10199999999999999</v>
      </c>
      <c r="I27" s="221">
        <v>4.7309999999999998E-2</v>
      </c>
      <c r="J27" s="221">
        <f>Wskaźniki!$C$15</f>
        <v>6.2440000000000002E-2</v>
      </c>
      <c r="K27" s="220">
        <f t="shared" si="6"/>
        <v>1433.6735718741936</v>
      </c>
      <c r="L27" s="220">
        <f t="shared" si="7"/>
        <v>397.12757940915168</v>
      </c>
      <c r="M27" s="220">
        <f t="shared" si="8"/>
        <v>89.518577827824657</v>
      </c>
    </row>
    <row r="28" spans="2:13">
      <c r="B28" s="918" t="s">
        <v>3</v>
      </c>
      <c r="C28" s="919"/>
      <c r="D28" s="919"/>
      <c r="E28" s="919"/>
      <c r="F28" s="919"/>
      <c r="G28" s="919"/>
      <c r="H28" s="919"/>
      <c r="I28" s="919"/>
      <c r="J28" s="920"/>
      <c r="K28" s="241">
        <f>SUM(K22:K27)</f>
        <v>138083.38864265996</v>
      </c>
      <c r="L28" s="241">
        <f t="shared" ref="L28:M28" si="9">SUM(L22:L27)</f>
        <v>38249.098654016809</v>
      </c>
      <c r="M28" s="241">
        <f t="shared" si="9"/>
        <v>9991.3197908420298</v>
      </c>
    </row>
    <row r="30" spans="2:13" ht="25.5">
      <c r="B30" s="910" t="s">
        <v>344</v>
      </c>
      <c r="C30" s="240" t="s">
        <v>329</v>
      </c>
      <c r="D30" s="240">
        <v>2020</v>
      </c>
      <c r="E30" s="240" t="s">
        <v>336</v>
      </c>
      <c r="F30" s="240" t="s">
        <v>337</v>
      </c>
      <c r="G30" s="240" t="s">
        <v>317</v>
      </c>
      <c r="H30" s="219"/>
      <c r="I30" s="219"/>
      <c r="J30" s="219"/>
      <c r="K30" s="219"/>
    </row>
    <row r="31" spans="2:13">
      <c r="B31" s="910"/>
      <c r="C31" s="915">
        <f>C22+C25</f>
        <v>5572.7145256087324</v>
      </c>
      <c r="D31" s="221" t="s">
        <v>19</v>
      </c>
      <c r="E31" s="220">
        <f>K22+K25</f>
        <v>25153.049391211043</v>
      </c>
      <c r="F31" s="220">
        <f>L22+L25</f>
        <v>6967.3946813654602</v>
      </c>
      <c r="G31" s="220">
        <f>M22+M25</f>
        <v>1725.7507187309898</v>
      </c>
      <c r="H31" s="219"/>
      <c r="I31" s="219"/>
      <c r="J31" s="219"/>
      <c r="K31" s="219"/>
    </row>
    <row r="32" spans="2:13">
      <c r="B32" s="910"/>
      <c r="C32" s="912"/>
      <c r="D32" s="221" t="s">
        <v>339</v>
      </c>
      <c r="E32" s="230">
        <f>K23+K26</f>
        <v>111496.66567957473</v>
      </c>
      <c r="F32" s="230">
        <f t="shared" ref="F32:F33" si="10">L23+L26</f>
        <v>30884.576393242201</v>
      </c>
      <c r="G32" s="230">
        <f t="shared" ref="G32:G33" si="11">M23+M26</f>
        <v>8176.0504942832149</v>
      </c>
      <c r="H32" s="219"/>
      <c r="I32" s="219"/>
      <c r="J32" s="219"/>
      <c r="K32" s="219"/>
    </row>
    <row r="33" spans="2:7">
      <c r="B33" s="910"/>
      <c r="C33" s="913"/>
      <c r="D33" s="221" t="s">
        <v>341</v>
      </c>
      <c r="E33" s="230">
        <f t="shared" ref="E33" si="12">K24+K27</f>
        <v>1433.6735718741936</v>
      </c>
      <c r="F33" s="230">
        <f t="shared" si="10"/>
        <v>397.12757940915168</v>
      </c>
      <c r="G33" s="230">
        <f t="shared" si="11"/>
        <v>89.518577827824657</v>
      </c>
    </row>
    <row r="34" spans="2:7">
      <c r="B34" s="910" t="s">
        <v>3</v>
      </c>
      <c r="C34" s="910"/>
      <c r="D34" s="910"/>
      <c r="E34" s="241">
        <f>SUM(E31:E33)</f>
        <v>138083.38864265996</v>
      </c>
      <c r="F34" s="241">
        <f t="shared" ref="F34" si="13">SUM(F31:F33)</f>
        <v>38249.098654016809</v>
      </c>
      <c r="G34" s="241">
        <f t="shared" ref="G34" si="14">SUM(G31:G33)</f>
        <v>9991.3197908420298</v>
      </c>
    </row>
  </sheetData>
  <mergeCells count="17">
    <mergeCell ref="B34:D34"/>
    <mergeCell ref="B11:D11"/>
    <mergeCell ref="C22:C24"/>
    <mergeCell ref="C25:C27"/>
    <mergeCell ref="C31:C33"/>
    <mergeCell ref="C16:C18"/>
    <mergeCell ref="B15:B18"/>
    <mergeCell ref="B19:D19"/>
    <mergeCell ref="B30:B33"/>
    <mergeCell ref="B22:B24"/>
    <mergeCell ref="B25:B27"/>
    <mergeCell ref="B28:J28"/>
    <mergeCell ref="B3:B5"/>
    <mergeCell ref="B6:B8"/>
    <mergeCell ref="B9:J9"/>
    <mergeCell ref="C3:C5"/>
    <mergeCell ref="C6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P34"/>
  <sheetViews>
    <sheetView showGridLines="0" view="pageBreakPreview" zoomScale="85" zoomScaleNormal="70" zoomScaleSheetLayoutView="85" workbookViewId="0">
      <selection activeCell="C3" sqref="C3:C5"/>
    </sheetView>
  </sheetViews>
  <sheetFormatPr defaultColWidth="10.875" defaultRowHeight="15"/>
  <cols>
    <col min="1" max="1" width="3.875" style="116" customWidth="1"/>
    <col min="2" max="16384" width="10.875" style="116"/>
  </cols>
  <sheetData>
    <row r="2" spans="2:16" ht="38.25">
      <c r="B2" s="674">
        <v>2014</v>
      </c>
      <c r="C2" s="674" t="s">
        <v>329</v>
      </c>
      <c r="D2" s="674" t="s">
        <v>330</v>
      </c>
      <c r="E2" s="674" t="s">
        <v>331</v>
      </c>
      <c r="F2" s="674" t="s">
        <v>332</v>
      </c>
      <c r="G2" s="674" t="s">
        <v>333</v>
      </c>
      <c r="H2" s="674" t="s">
        <v>334</v>
      </c>
      <c r="I2" s="674" t="s">
        <v>335</v>
      </c>
      <c r="J2" s="674" t="s">
        <v>13</v>
      </c>
      <c r="K2" s="674" t="s">
        <v>336</v>
      </c>
      <c r="L2" s="674" t="s">
        <v>337</v>
      </c>
      <c r="M2" s="674" t="s">
        <v>317</v>
      </c>
      <c r="N2" s="229"/>
    </row>
    <row r="3" spans="2:16">
      <c r="B3" s="910" t="s">
        <v>17</v>
      </c>
      <c r="C3" s="911">
        <v>322</v>
      </c>
      <c r="D3" s="232">
        <v>322</v>
      </c>
      <c r="E3" s="231" t="s">
        <v>19</v>
      </c>
      <c r="F3" s="231">
        <v>0.72</v>
      </c>
      <c r="G3" s="231">
        <v>5000</v>
      </c>
      <c r="H3" s="231">
        <v>0.04</v>
      </c>
      <c r="I3" s="231">
        <v>4.478E-2</v>
      </c>
      <c r="J3" s="231">
        <f>Wskaźniki!$C$18</f>
        <v>6.8610000000000004E-2</v>
      </c>
      <c r="K3" s="230">
        <f>D3*F3*G3*H3*I3</f>
        <v>2076.3590399999998</v>
      </c>
      <c r="L3" s="230">
        <f>K3*$C$13</f>
        <v>575.15145408000001</v>
      </c>
      <c r="M3" s="230">
        <f>K3*J3</f>
        <v>142.4589937344</v>
      </c>
      <c r="N3" s="229"/>
    </row>
    <row r="4" spans="2:16">
      <c r="B4" s="910"/>
      <c r="C4" s="912"/>
      <c r="D4" s="232">
        <v>0</v>
      </c>
      <c r="E4" s="231" t="s">
        <v>339</v>
      </c>
      <c r="F4" s="231">
        <v>0.82</v>
      </c>
      <c r="G4" s="231">
        <v>5000</v>
      </c>
      <c r="H4" s="231">
        <v>0.04</v>
      </c>
      <c r="I4" s="231">
        <v>4.333E-2</v>
      </c>
      <c r="J4" s="231">
        <f>Wskaźniki!$C$21</f>
        <v>7.3330000000000006E-2</v>
      </c>
      <c r="K4" s="230">
        <f t="shared" ref="K4:K8" si="0">D4*F4*G4*H4*I4</f>
        <v>0</v>
      </c>
      <c r="L4" s="230">
        <f t="shared" ref="L4:L8" si="1">K4*$C$13</f>
        <v>0</v>
      </c>
      <c r="M4" s="230">
        <f t="shared" ref="M4:M8" si="2">K4*J4</f>
        <v>0</v>
      </c>
      <c r="N4" s="229"/>
    </row>
    <row r="5" spans="2:16">
      <c r="B5" s="910"/>
      <c r="C5" s="913"/>
      <c r="D5" s="232">
        <v>0</v>
      </c>
      <c r="E5" s="231" t="s">
        <v>341</v>
      </c>
      <c r="F5" s="231">
        <v>0.56200000000000006</v>
      </c>
      <c r="G5" s="231">
        <v>5000</v>
      </c>
      <c r="H5" s="231">
        <v>0</v>
      </c>
      <c r="I5" s="231">
        <v>4.7309999999999998E-2</v>
      </c>
      <c r="J5" s="231">
        <f>Wskaźniki!$C$15</f>
        <v>6.2440000000000002E-2</v>
      </c>
      <c r="K5" s="230">
        <f t="shared" si="0"/>
        <v>0</v>
      </c>
      <c r="L5" s="230">
        <f t="shared" si="1"/>
        <v>0</v>
      </c>
      <c r="M5" s="230">
        <f t="shared" si="2"/>
        <v>0</v>
      </c>
      <c r="N5" s="229"/>
    </row>
    <row r="6" spans="2:16">
      <c r="B6" s="910" t="s">
        <v>343</v>
      </c>
      <c r="C6" s="911">
        <v>5317</v>
      </c>
      <c r="D6" s="232">
        <v>1542</v>
      </c>
      <c r="E6" s="231" t="s">
        <v>19</v>
      </c>
      <c r="F6" s="231">
        <v>0.72</v>
      </c>
      <c r="G6" s="231">
        <v>5876</v>
      </c>
      <c r="H6" s="231">
        <v>0.08</v>
      </c>
      <c r="I6" s="231">
        <v>4.478E-2</v>
      </c>
      <c r="J6" s="231">
        <f>Wskaźniki!$C$18</f>
        <v>6.8610000000000004E-2</v>
      </c>
      <c r="K6" s="230">
        <f t="shared" si="0"/>
        <v>23370.754507776001</v>
      </c>
      <c r="L6" s="230">
        <f t="shared" si="1"/>
        <v>6473.6989986539529</v>
      </c>
      <c r="M6" s="230">
        <f t="shared" si="2"/>
        <v>1603.4674667785116</v>
      </c>
      <c r="N6" s="229"/>
    </row>
    <row r="7" spans="2:16">
      <c r="B7" s="910"/>
      <c r="C7" s="912"/>
      <c r="D7" s="232">
        <v>3722</v>
      </c>
      <c r="E7" s="231" t="s">
        <v>339</v>
      </c>
      <c r="F7" s="231">
        <v>0.82</v>
      </c>
      <c r="G7" s="231">
        <v>12016</v>
      </c>
      <c r="H7" s="231">
        <v>7.0999999999999994E-2</v>
      </c>
      <c r="I7" s="231">
        <v>4.333E-2</v>
      </c>
      <c r="J7" s="231">
        <f>Wskaźniki!$C$21</f>
        <v>7.3330000000000006E-2</v>
      </c>
      <c r="K7" s="230">
        <f t="shared" si="0"/>
        <v>112822.87920507519</v>
      </c>
      <c r="L7" s="230">
        <f t="shared" si="1"/>
        <v>31251.937539805833</v>
      </c>
      <c r="M7" s="230">
        <f t="shared" si="2"/>
        <v>8273.3017321081643</v>
      </c>
      <c r="N7" s="229"/>
      <c r="O7" s="229"/>
      <c r="P7" s="229"/>
    </row>
    <row r="8" spans="2:16">
      <c r="B8" s="910"/>
      <c r="C8" s="913"/>
      <c r="D8" s="232">
        <v>53</v>
      </c>
      <c r="E8" s="231" t="s">
        <v>341</v>
      </c>
      <c r="F8" s="231">
        <v>0.56200000000000006</v>
      </c>
      <c r="G8" s="231">
        <v>10093</v>
      </c>
      <c r="H8" s="231">
        <v>0.10199999999999999</v>
      </c>
      <c r="I8" s="231">
        <v>4.7309999999999998E-2</v>
      </c>
      <c r="J8" s="231">
        <f>Wskaźniki!$C$15</f>
        <v>6.2440000000000002E-2</v>
      </c>
      <c r="K8" s="230">
        <f t="shared" si="0"/>
        <v>1450.72661351076</v>
      </c>
      <c r="L8" s="230">
        <f t="shared" si="1"/>
        <v>401.85127194248054</v>
      </c>
      <c r="M8" s="230">
        <f t="shared" si="2"/>
        <v>90.583369747611854</v>
      </c>
      <c r="N8" s="229"/>
      <c r="O8" s="229"/>
      <c r="P8" s="229"/>
    </row>
    <row r="9" spans="2:16">
      <c r="B9" s="910" t="s">
        <v>3</v>
      </c>
      <c r="C9" s="910"/>
      <c r="D9" s="910"/>
      <c r="E9" s="910"/>
      <c r="F9" s="910"/>
      <c r="G9" s="910"/>
      <c r="H9" s="910"/>
      <c r="I9" s="910"/>
      <c r="J9" s="910"/>
      <c r="K9" s="241">
        <f>SUM(K3:K8)</f>
        <v>139720.71936636194</v>
      </c>
      <c r="L9" s="241">
        <f t="shared" ref="L9:M9" si="3">SUM(L3:L8)</f>
        <v>38702.63926448227</v>
      </c>
      <c r="M9" s="241">
        <f t="shared" si="3"/>
        <v>10109.811562368688</v>
      </c>
      <c r="N9" s="229"/>
      <c r="O9" s="229"/>
      <c r="P9" s="229"/>
    </row>
    <row r="10" spans="2:16">
      <c r="B10" s="229"/>
      <c r="C10" s="229"/>
      <c r="D10" s="234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</row>
    <row r="11" spans="2:16">
      <c r="B11" s="914" t="s">
        <v>211</v>
      </c>
      <c r="C11" s="914"/>
      <c r="D11" s="914"/>
      <c r="E11" s="233"/>
      <c r="F11" s="228"/>
      <c r="G11" s="229"/>
      <c r="H11" s="229"/>
      <c r="I11" s="229"/>
      <c r="J11" s="229"/>
      <c r="K11" s="229"/>
      <c r="L11" s="229"/>
      <c r="M11" s="229"/>
      <c r="N11" s="229"/>
      <c r="O11" s="229"/>
      <c r="P11" s="229"/>
    </row>
    <row r="12" spans="2:16">
      <c r="B12" s="235" t="s">
        <v>212</v>
      </c>
      <c r="C12" s="236">
        <v>3.6</v>
      </c>
      <c r="D12" s="236" t="s">
        <v>207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</row>
    <row r="13" spans="2:16">
      <c r="B13" s="237" t="s">
        <v>213</v>
      </c>
      <c r="C13" s="236">
        <v>0.27700000000000002</v>
      </c>
      <c r="D13" s="236" t="s">
        <v>214</v>
      </c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</row>
    <row r="15" spans="2:16" ht="25.5">
      <c r="B15" s="910" t="s">
        <v>344</v>
      </c>
      <c r="C15" s="674" t="s">
        <v>329</v>
      </c>
      <c r="D15" s="674">
        <v>2014</v>
      </c>
      <c r="E15" s="674" t="s">
        <v>336</v>
      </c>
      <c r="F15" s="674" t="s">
        <v>337</v>
      </c>
      <c r="G15" s="674" t="s">
        <v>317</v>
      </c>
      <c r="H15" s="229"/>
      <c r="I15" s="229"/>
      <c r="J15" s="229"/>
      <c r="K15" s="229"/>
      <c r="L15" s="229"/>
      <c r="M15" s="229"/>
      <c r="N15" s="229"/>
    </row>
    <row r="16" spans="2:16">
      <c r="B16" s="910"/>
      <c r="C16" s="911">
        <f>C3+C6</f>
        <v>5639</v>
      </c>
      <c r="D16" s="231" t="s">
        <v>19</v>
      </c>
      <c r="E16" s="230">
        <f>K3+K6</f>
        <v>25447.113547776</v>
      </c>
      <c r="F16" s="230">
        <f>L3+L6</f>
        <v>7048.8504527339528</v>
      </c>
      <c r="G16" s="230">
        <f>M3+M6</f>
        <v>1745.9264605129115</v>
      </c>
      <c r="H16" s="229"/>
      <c r="I16" s="229"/>
      <c r="J16" s="229"/>
      <c r="K16" s="229"/>
      <c r="L16" s="229"/>
      <c r="M16" s="229"/>
      <c r="N16" s="229"/>
    </row>
    <row r="17" spans="2:13">
      <c r="B17" s="910"/>
      <c r="C17" s="912"/>
      <c r="D17" s="231" t="s">
        <v>339</v>
      </c>
      <c r="E17" s="230">
        <f>K4+K7</f>
        <v>112822.87920507519</v>
      </c>
      <c r="F17" s="230">
        <f>L4+L7</f>
        <v>31251.937539805833</v>
      </c>
      <c r="G17" s="230">
        <f t="shared" ref="G17:G18" si="4">M4+M7</f>
        <v>8273.3017321081643</v>
      </c>
      <c r="H17" s="229"/>
      <c r="I17" s="229"/>
      <c r="J17" s="229"/>
      <c r="K17" s="229"/>
    </row>
    <row r="18" spans="2:13">
      <c r="B18" s="910"/>
      <c r="C18" s="913"/>
      <c r="D18" s="231" t="s">
        <v>341</v>
      </c>
      <c r="E18" s="230">
        <f>K5+K8</f>
        <v>1450.72661351076</v>
      </c>
      <c r="F18" s="230">
        <f>L5+L8</f>
        <v>401.85127194248054</v>
      </c>
      <c r="G18" s="230">
        <f t="shared" si="4"/>
        <v>90.583369747611854</v>
      </c>
      <c r="H18" s="229"/>
      <c r="I18" s="229"/>
      <c r="J18" s="229"/>
      <c r="K18" s="229"/>
    </row>
    <row r="19" spans="2:13">
      <c r="B19" s="918" t="s">
        <v>3</v>
      </c>
      <c r="C19" s="919"/>
      <c r="D19" s="920"/>
      <c r="E19" s="241">
        <f>SUM(E16:E18)</f>
        <v>139720.71936636194</v>
      </c>
      <c r="F19" s="241">
        <f t="shared" ref="F19:G19" si="5">SUM(F16:F18)</f>
        <v>38702.63926448227</v>
      </c>
      <c r="G19" s="241">
        <f t="shared" si="5"/>
        <v>10109.811562368688</v>
      </c>
      <c r="H19" s="229"/>
      <c r="I19" s="229"/>
      <c r="J19" s="229"/>
      <c r="K19" s="229"/>
    </row>
    <row r="21" spans="2:13" ht="38.25">
      <c r="B21" s="674">
        <v>2024</v>
      </c>
      <c r="C21" s="674" t="s">
        <v>329</v>
      </c>
      <c r="D21" s="674" t="s">
        <v>330</v>
      </c>
      <c r="E21" s="674" t="s">
        <v>331</v>
      </c>
      <c r="F21" s="674" t="s">
        <v>332</v>
      </c>
      <c r="G21" s="674" t="s">
        <v>333</v>
      </c>
      <c r="H21" s="674" t="s">
        <v>334</v>
      </c>
      <c r="I21" s="674" t="s">
        <v>335</v>
      </c>
      <c r="J21" s="674" t="s">
        <v>13</v>
      </c>
      <c r="K21" s="674" t="s">
        <v>336</v>
      </c>
      <c r="L21" s="674" t="s">
        <v>337</v>
      </c>
      <c r="M21" s="674" t="s">
        <v>317</v>
      </c>
    </row>
    <row r="22" spans="2:13">
      <c r="B22" s="921" t="s">
        <v>17</v>
      </c>
      <c r="C22" s="915">
        <f>C3/Charakterystyka_2024!$L$9*Charakterystyka_2024!AI9</f>
        <v>315.87181640078364</v>
      </c>
      <c r="D22" s="232">
        <f>C22</f>
        <v>315.87181640078364</v>
      </c>
      <c r="E22" s="231" t="s">
        <v>19</v>
      </c>
      <c r="F22" s="231">
        <v>0.72</v>
      </c>
      <c r="G22" s="231">
        <v>5000</v>
      </c>
      <c r="H22" s="231">
        <v>0.04</v>
      </c>
      <c r="I22" s="231">
        <v>4.478E-2</v>
      </c>
      <c r="J22" s="231">
        <f>Wskaźniki!$C$18</f>
        <v>6.8610000000000004E-2</v>
      </c>
      <c r="K22" s="230">
        <f>D22*F22*G22*H22*I22</f>
        <v>2036.8425511335008</v>
      </c>
      <c r="L22" s="230">
        <f>K22*$C$13</f>
        <v>564.20538666397977</v>
      </c>
      <c r="M22" s="230">
        <f>K22*J22</f>
        <v>139.7477674332695</v>
      </c>
    </row>
    <row r="23" spans="2:13">
      <c r="B23" s="922"/>
      <c r="C23" s="916"/>
      <c r="D23" s="232">
        <v>0</v>
      </c>
      <c r="E23" s="231" t="s">
        <v>339</v>
      </c>
      <c r="F23" s="231">
        <v>0.82</v>
      </c>
      <c r="G23" s="231">
        <v>5000</v>
      </c>
      <c r="H23" s="231">
        <v>0.04</v>
      </c>
      <c r="I23" s="231">
        <v>4.333E-2</v>
      </c>
      <c r="J23" s="231">
        <f>Wskaźniki!$C$21</f>
        <v>7.3330000000000006E-2</v>
      </c>
      <c r="K23" s="230">
        <f t="shared" ref="K23:K27" si="6">D23*F23*G23*H23*I23</f>
        <v>0</v>
      </c>
      <c r="L23" s="230">
        <f t="shared" ref="L23:L27" si="7">K23*$C$13</f>
        <v>0</v>
      </c>
      <c r="M23" s="230">
        <f t="shared" ref="M23:M27" si="8">K23*J23</f>
        <v>0</v>
      </c>
    </row>
    <row r="24" spans="2:13">
      <c r="B24" s="923"/>
      <c r="C24" s="917"/>
      <c r="D24" s="232">
        <v>0</v>
      </c>
      <c r="E24" s="231" t="s">
        <v>341</v>
      </c>
      <c r="F24" s="231">
        <v>0.56200000000000006</v>
      </c>
      <c r="G24" s="231">
        <v>5000</v>
      </c>
      <c r="H24" s="231">
        <v>0</v>
      </c>
      <c r="I24" s="231">
        <v>4.7309999999999998E-2</v>
      </c>
      <c r="J24" s="231">
        <f>Wskaźniki!$C$15</f>
        <v>6.2440000000000002E-2</v>
      </c>
      <c r="K24" s="230">
        <f t="shared" si="6"/>
        <v>0</v>
      </c>
      <c r="L24" s="230">
        <f t="shared" si="7"/>
        <v>0</v>
      </c>
      <c r="M24" s="230">
        <f t="shared" si="8"/>
        <v>0</v>
      </c>
    </row>
    <row r="25" spans="2:13">
      <c r="B25" s="921" t="s">
        <v>343</v>
      </c>
      <c r="C25" s="915">
        <f>D25+D26+D27</f>
        <v>5215.808844108592</v>
      </c>
      <c r="D25" s="232">
        <f>D6/Charakterystyka_2024!$L$9*Charakterystyka_2024!AI9</f>
        <v>1512.6532325776657</v>
      </c>
      <c r="E25" s="231" t="s">
        <v>19</v>
      </c>
      <c r="F25" s="231">
        <v>0.72</v>
      </c>
      <c r="G25" s="231">
        <v>5876</v>
      </c>
      <c r="H25" s="231">
        <v>0.08</v>
      </c>
      <c r="I25" s="231">
        <v>4.478E-2</v>
      </c>
      <c r="J25" s="231">
        <f>Wskaźniki!$C$18</f>
        <v>6.8610000000000004E-2</v>
      </c>
      <c r="K25" s="230">
        <f t="shared" si="6"/>
        <v>22925.971046670831</v>
      </c>
      <c r="L25" s="230">
        <f t="shared" si="7"/>
        <v>6350.4939799278209</v>
      </c>
      <c r="M25" s="230">
        <f t="shared" si="8"/>
        <v>1572.9508735120858</v>
      </c>
    </row>
    <row r="26" spans="2:13">
      <c r="B26" s="922"/>
      <c r="C26" s="916"/>
      <c r="D26" s="232">
        <f>D7/Charakterystyka_2024!$L$9*Charakterystyka_2024!AI9</f>
        <v>3651.1642877134059</v>
      </c>
      <c r="E26" s="231" t="s">
        <v>339</v>
      </c>
      <c r="F26" s="231">
        <v>0.82</v>
      </c>
      <c r="G26" s="231">
        <v>12016</v>
      </c>
      <c r="H26" s="231">
        <v>7.0999999999999994E-2</v>
      </c>
      <c r="I26" s="231">
        <v>4.333E-2</v>
      </c>
      <c r="J26" s="231">
        <f>Wskaźniki!$C$21</f>
        <v>7.3330000000000006E-2</v>
      </c>
      <c r="K26" s="230">
        <f t="shared" si="6"/>
        <v>110675.67635426491</v>
      </c>
      <c r="L26" s="230">
        <f t="shared" si="7"/>
        <v>30657.162350131384</v>
      </c>
      <c r="M26" s="230">
        <f t="shared" si="8"/>
        <v>8115.8473470582467</v>
      </c>
    </row>
    <row r="27" spans="2:13">
      <c r="B27" s="923"/>
      <c r="C27" s="917"/>
      <c r="D27" s="232">
        <f>D8/Charakterystyka_2024!$L$9*Charakterystyka_2024!AI9</f>
        <v>51.991323817520289</v>
      </c>
      <c r="E27" s="231" t="s">
        <v>341</v>
      </c>
      <c r="F27" s="231">
        <v>0.56200000000000006</v>
      </c>
      <c r="G27" s="231">
        <v>10093</v>
      </c>
      <c r="H27" s="231">
        <v>0.10199999999999999</v>
      </c>
      <c r="I27" s="231">
        <v>4.7309999999999998E-2</v>
      </c>
      <c r="J27" s="231">
        <f>Wskaźniki!$C$15</f>
        <v>6.2440000000000002E-2</v>
      </c>
      <c r="K27" s="230">
        <f t="shared" si="6"/>
        <v>1423.1169270515572</v>
      </c>
      <c r="L27" s="230">
        <f t="shared" si="7"/>
        <v>394.20338879328136</v>
      </c>
      <c r="M27" s="230">
        <f t="shared" si="8"/>
        <v>88.859420925099244</v>
      </c>
    </row>
    <row r="28" spans="2:13">
      <c r="B28" s="918" t="s">
        <v>3</v>
      </c>
      <c r="C28" s="919"/>
      <c r="D28" s="919"/>
      <c r="E28" s="919"/>
      <c r="F28" s="919"/>
      <c r="G28" s="919"/>
      <c r="H28" s="919"/>
      <c r="I28" s="919"/>
      <c r="J28" s="920"/>
      <c r="K28" s="241">
        <f>SUM(K22:K27)</f>
        <v>137061.60687912081</v>
      </c>
      <c r="L28" s="241">
        <f>SUM(L22:L27)</f>
        <v>37966.065105516471</v>
      </c>
      <c r="M28" s="241">
        <f t="shared" ref="M28" si="9">SUM(M22:M27)</f>
        <v>9917.4054089287001</v>
      </c>
    </row>
    <row r="30" spans="2:13" ht="25.5">
      <c r="B30" s="910" t="s">
        <v>344</v>
      </c>
      <c r="C30" s="674" t="s">
        <v>329</v>
      </c>
      <c r="D30" s="674">
        <v>2024</v>
      </c>
      <c r="E30" s="674" t="s">
        <v>336</v>
      </c>
      <c r="F30" s="674" t="s">
        <v>337</v>
      </c>
      <c r="G30" s="674" t="s">
        <v>317</v>
      </c>
      <c r="H30" s="229"/>
      <c r="I30" s="229"/>
      <c r="J30" s="229"/>
      <c r="K30" s="229"/>
    </row>
    <row r="31" spans="2:13">
      <c r="B31" s="910"/>
      <c r="C31" s="915">
        <f>C22+C25</f>
        <v>5531.6806605093752</v>
      </c>
      <c r="D31" s="231" t="s">
        <v>19</v>
      </c>
      <c r="E31" s="230">
        <f>K22+K25</f>
        <v>24962.813597804332</v>
      </c>
      <c r="F31" s="230">
        <f>L22+L25</f>
        <v>6914.6993665918008</v>
      </c>
      <c r="G31" s="230">
        <f>M22+M25</f>
        <v>1712.6986409453552</v>
      </c>
      <c r="H31" s="229"/>
      <c r="I31" s="229"/>
      <c r="J31" s="229"/>
      <c r="K31" s="229"/>
    </row>
    <row r="32" spans="2:13">
      <c r="B32" s="910"/>
      <c r="C32" s="912"/>
      <c r="D32" s="231" t="s">
        <v>339</v>
      </c>
      <c r="E32" s="230">
        <f>K23+K26</f>
        <v>110675.67635426491</v>
      </c>
      <c r="F32" s="230">
        <f t="shared" ref="F32:G33" si="10">L23+L26</f>
        <v>30657.162350131384</v>
      </c>
      <c r="G32" s="230">
        <f t="shared" si="10"/>
        <v>8115.8473470582467</v>
      </c>
      <c r="H32" s="229"/>
      <c r="I32" s="229"/>
      <c r="J32" s="229"/>
      <c r="K32" s="229"/>
    </row>
    <row r="33" spans="2:7">
      <c r="B33" s="910"/>
      <c r="C33" s="913"/>
      <c r="D33" s="231" t="s">
        <v>341</v>
      </c>
      <c r="E33" s="230">
        <f t="shared" ref="E33" si="11">K24+K27</f>
        <v>1423.1169270515572</v>
      </c>
      <c r="F33" s="230">
        <f t="shared" si="10"/>
        <v>394.20338879328136</v>
      </c>
      <c r="G33" s="230">
        <f t="shared" si="10"/>
        <v>88.859420925099244</v>
      </c>
    </row>
    <row r="34" spans="2:7">
      <c r="B34" s="910" t="s">
        <v>3</v>
      </c>
      <c r="C34" s="910"/>
      <c r="D34" s="910"/>
      <c r="E34" s="241">
        <f>SUM(E31:E33)</f>
        <v>137061.60687912081</v>
      </c>
      <c r="F34" s="241">
        <f t="shared" ref="F34" si="12">SUM(F31:F33)</f>
        <v>37966.065105516471</v>
      </c>
      <c r="G34" s="241">
        <f>SUM(G31:G33)</f>
        <v>9917.4054089287001</v>
      </c>
    </row>
  </sheetData>
  <mergeCells count="17">
    <mergeCell ref="B28:J28"/>
    <mergeCell ref="B30:B33"/>
    <mergeCell ref="C31:C33"/>
    <mergeCell ref="B34:D34"/>
    <mergeCell ref="B15:B18"/>
    <mergeCell ref="C16:C18"/>
    <mergeCell ref="B19:D19"/>
    <mergeCell ref="B22:B24"/>
    <mergeCell ref="C22:C24"/>
    <mergeCell ref="B25:B27"/>
    <mergeCell ref="C25:C27"/>
    <mergeCell ref="B11:D11"/>
    <mergeCell ref="B3:B5"/>
    <mergeCell ref="C3:C5"/>
    <mergeCell ref="B6:B8"/>
    <mergeCell ref="C6:C8"/>
    <mergeCell ref="B9:J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N34"/>
  <sheetViews>
    <sheetView showGridLines="0" topLeftCell="A7" zoomScale="90" zoomScaleNormal="90" workbookViewId="0">
      <selection activeCell="S39" sqref="S39"/>
    </sheetView>
  </sheetViews>
  <sheetFormatPr defaultColWidth="10.875" defaultRowHeight="15"/>
  <cols>
    <col min="1" max="1" width="6.25" style="116" customWidth="1"/>
    <col min="2" max="13" width="10.875" style="116"/>
    <col min="14" max="14" width="5.375" style="116" customWidth="1"/>
    <col min="15" max="16384" width="10.875" style="116"/>
  </cols>
  <sheetData>
    <row r="2" spans="2:14" ht="38.25">
      <c r="B2" s="240">
        <v>2014</v>
      </c>
      <c r="C2" s="240" t="s">
        <v>329</v>
      </c>
      <c r="D2" s="240" t="s">
        <v>330</v>
      </c>
      <c r="E2" s="240" t="s">
        <v>331</v>
      </c>
      <c r="F2" s="240" t="s">
        <v>332</v>
      </c>
      <c r="G2" s="240" t="s">
        <v>333</v>
      </c>
      <c r="H2" s="240" t="s">
        <v>334</v>
      </c>
      <c r="I2" s="240" t="s">
        <v>335</v>
      </c>
      <c r="J2" s="240" t="s">
        <v>13</v>
      </c>
      <c r="K2" s="240" t="s">
        <v>336</v>
      </c>
      <c r="L2" s="240" t="s">
        <v>337</v>
      </c>
      <c r="M2" s="240" t="s">
        <v>317</v>
      </c>
      <c r="N2" s="229"/>
    </row>
    <row r="3" spans="2:14">
      <c r="B3" s="910" t="s">
        <v>18</v>
      </c>
      <c r="C3" s="911">
        <v>708</v>
      </c>
      <c r="D3" s="232">
        <v>205</v>
      </c>
      <c r="E3" s="231" t="s">
        <v>19</v>
      </c>
      <c r="F3" s="231">
        <v>0.72</v>
      </c>
      <c r="G3" s="231">
        <v>5000</v>
      </c>
      <c r="H3" s="231">
        <v>0.32100000000000001</v>
      </c>
      <c r="I3" s="231">
        <v>4.478E-2</v>
      </c>
      <c r="J3" s="231">
        <f>Wskaźniki!$C$18</f>
        <v>6.8610000000000004E-2</v>
      </c>
      <c r="K3" s="230">
        <f>D3*F3*G3*H3*I3</f>
        <v>10608.292439999999</v>
      </c>
      <c r="L3" s="230">
        <f>K3*$C$13</f>
        <v>2938.49700588</v>
      </c>
      <c r="M3" s="230">
        <f>K3*J3</f>
        <v>727.83494430839994</v>
      </c>
      <c r="N3" s="229"/>
    </row>
    <row r="4" spans="2:14">
      <c r="B4" s="910"/>
      <c r="C4" s="912"/>
      <c r="D4" s="232">
        <v>503</v>
      </c>
      <c r="E4" s="231" t="s">
        <v>339</v>
      </c>
      <c r="F4" s="231">
        <v>0.82</v>
      </c>
      <c r="G4" s="231">
        <v>5000</v>
      </c>
      <c r="H4" s="231">
        <v>0.248</v>
      </c>
      <c r="I4" s="231">
        <v>4.333E-2</v>
      </c>
      <c r="J4" s="231">
        <f>Wskaźniki!$C$21</f>
        <v>7.3330000000000006E-2</v>
      </c>
      <c r="K4" s="230">
        <f t="shared" ref="K4:K8" si="0">D4*F4*G4*H4*I4</f>
        <v>22161.145832000002</v>
      </c>
      <c r="L4" s="230">
        <f t="shared" ref="L4:L8" si="1">K4*$C$13</f>
        <v>6138.6373954640012</v>
      </c>
      <c r="M4" s="230">
        <f t="shared" ref="M4:M8" si="2">K4*J4</f>
        <v>1625.0768238605604</v>
      </c>
      <c r="N4" s="229"/>
    </row>
    <row r="5" spans="2:14">
      <c r="B5" s="910"/>
      <c r="C5" s="913"/>
      <c r="D5" s="232">
        <v>0</v>
      </c>
      <c r="E5" s="231" t="s">
        <v>341</v>
      </c>
      <c r="F5" s="231">
        <v>0.56200000000000006</v>
      </c>
      <c r="G5" s="231">
        <v>5000</v>
      </c>
      <c r="H5" s="231">
        <v>0.32100000000000001</v>
      </c>
      <c r="I5" s="231">
        <v>4.7309999999999998E-2</v>
      </c>
      <c r="J5" s="231">
        <f>Wskaźniki!$C$15</f>
        <v>6.2440000000000002E-2</v>
      </c>
      <c r="K5" s="230">
        <f t="shared" si="0"/>
        <v>0</v>
      </c>
      <c r="L5" s="230">
        <f t="shared" si="1"/>
        <v>0</v>
      </c>
      <c r="M5" s="230">
        <f t="shared" si="2"/>
        <v>0</v>
      </c>
      <c r="N5" s="229"/>
    </row>
    <row r="6" spans="2:14">
      <c r="B6" s="910" t="s">
        <v>21</v>
      </c>
      <c r="C6" s="911">
        <v>49</v>
      </c>
      <c r="D6" s="232">
        <v>14</v>
      </c>
      <c r="E6" s="231" t="s">
        <v>19</v>
      </c>
      <c r="F6" s="231">
        <v>0.72</v>
      </c>
      <c r="G6" s="231">
        <v>5876</v>
      </c>
      <c r="H6" s="231">
        <v>0.32100000000000001</v>
      </c>
      <c r="I6" s="231">
        <v>4.478E-2</v>
      </c>
      <c r="J6" s="231">
        <f>Wskaźniki!$C$18</f>
        <v>6.8610000000000004E-2</v>
      </c>
      <c r="K6" s="230">
        <f t="shared" si="0"/>
        <v>851.39567735039998</v>
      </c>
      <c r="L6" s="230">
        <f t="shared" si="1"/>
        <v>235.83660262606082</v>
      </c>
      <c r="M6" s="230">
        <f t="shared" si="2"/>
        <v>58.414257423010945</v>
      </c>
      <c r="N6" s="229"/>
    </row>
    <row r="7" spans="2:14">
      <c r="B7" s="910"/>
      <c r="C7" s="912"/>
      <c r="D7" s="232">
        <v>34</v>
      </c>
      <c r="E7" s="231" t="s">
        <v>339</v>
      </c>
      <c r="F7" s="231">
        <v>0.82</v>
      </c>
      <c r="G7" s="231">
        <v>12016</v>
      </c>
      <c r="H7" s="231">
        <v>0.248</v>
      </c>
      <c r="I7" s="231">
        <v>4.333E-2</v>
      </c>
      <c r="J7" s="231">
        <f>Wskaźniki!$C$21</f>
        <v>7.3330000000000006E-2</v>
      </c>
      <c r="K7" s="230">
        <f t="shared" si="0"/>
        <v>3599.9217347072004</v>
      </c>
      <c r="L7" s="230">
        <f t="shared" si="1"/>
        <v>997.17832051389462</v>
      </c>
      <c r="M7" s="230">
        <f t="shared" si="2"/>
        <v>263.98226080607901</v>
      </c>
      <c r="N7" s="229"/>
    </row>
    <row r="8" spans="2:14">
      <c r="B8" s="910"/>
      <c r="C8" s="913"/>
      <c r="D8" s="232">
        <v>0</v>
      </c>
      <c r="E8" s="231" t="s">
        <v>341</v>
      </c>
      <c r="F8" s="231">
        <v>0.56200000000000006</v>
      </c>
      <c r="G8" s="231">
        <v>10093</v>
      </c>
      <c r="H8" s="231">
        <v>0.32100000000000001</v>
      </c>
      <c r="I8" s="231">
        <v>4.7309999999999998E-2</v>
      </c>
      <c r="J8" s="231">
        <f>Wskaźniki!$C$15</f>
        <v>6.2440000000000002E-2</v>
      </c>
      <c r="K8" s="230">
        <f t="shared" si="0"/>
        <v>0</v>
      </c>
      <c r="L8" s="230">
        <f t="shared" si="1"/>
        <v>0</v>
      </c>
      <c r="M8" s="230">
        <f t="shared" si="2"/>
        <v>0</v>
      </c>
      <c r="N8" s="229"/>
    </row>
    <row r="9" spans="2:14">
      <c r="B9" s="910" t="s">
        <v>3</v>
      </c>
      <c r="C9" s="910"/>
      <c r="D9" s="910"/>
      <c r="E9" s="910"/>
      <c r="F9" s="910"/>
      <c r="G9" s="910"/>
      <c r="H9" s="910"/>
      <c r="I9" s="910"/>
      <c r="J9" s="910"/>
      <c r="K9" s="241">
        <f>SUM(K3:K8)</f>
        <v>37220.7556840576</v>
      </c>
      <c r="L9" s="241">
        <f t="shared" ref="L9:M9" si="3">SUM(L3:L8)</f>
        <v>10310.149324483957</v>
      </c>
      <c r="M9" s="241">
        <f t="shared" si="3"/>
        <v>2675.3082863980503</v>
      </c>
      <c r="N9" s="229"/>
    </row>
    <row r="10" spans="2:14">
      <c r="B10" s="229"/>
      <c r="C10" s="229"/>
      <c r="D10" s="234"/>
      <c r="E10" s="229"/>
      <c r="F10" s="229"/>
      <c r="G10" s="229"/>
      <c r="H10" s="229"/>
      <c r="I10" s="229"/>
      <c r="J10" s="229"/>
      <c r="K10" s="229"/>
      <c r="L10" s="229"/>
      <c r="M10" s="229"/>
      <c r="N10" s="229"/>
    </row>
    <row r="11" spans="2:14">
      <c r="B11" s="914" t="s">
        <v>211</v>
      </c>
      <c r="C11" s="914"/>
      <c r="D11" s="914"/>
      <c r="E11" s="233"/>
      <c r="F11" s="228"/>
      <c r="G11" s="229"/>
      <c r="H11" s="229"/>
      <c r="I11" s="229"/>
      <c r="J11" s="229"/>
      <c r="K11" s="229"/>
      <c r="L11" s="229"/>
      <c r="M11" s="229"/>
      <c r="N11" s="229"/>
    </row>
    <row r="12" spans="2:14">
      <c r="B12" s="235" t="s">
        <v>212</v>
      </c>
      <c r="C12" s="236">
        <v>3.6</v>
      </c>
      <c r="D12" s="236" t="s">
        <v>207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29"/>
    </row>
    <row r="13" spans="2:14">
      <c r="B13" s="237" t="s">
        <v>213</v>
      </c>
      <c r="C13" s="236">
        <v>0.27700000000000002</v>
      </c>
      <c r="D13" s="236" t="s">
        <v>214</v>
      </c>
      <c r="E13" s="229"/>
      <c r="F13" s="229"/>
      <c r="G13" s="229"/>
      <c r="H13" s="229"/>
      <c r="I13" s="229"/>
      <c r="J13" s="229"/>
      <c r="K13" s="229"/>
      <c r="L13" s="229"/>
      <c r="M13" s="229"/>
      <c r="N13" s="229"/>
    </row>
    <row r="15" spans="2:14" ht="25.5">
      <c r="B15" s="910" t="s">
        <v>349</v>
      </c>
      <c r="C15" s="240" t="s">
        <v>329</v>
      </c>
      <c r="D15" s="240">
        <v>2014</v>
      </c>
      <c r="E15" s="240" t="s">
        <v>336</v>
      </c>
      <c r="F15" s="240" t="s">
        <v>337</v>
      </c>
      <c r="G15" s="240" t="s">
        <v>317</v>
      </c>
      <c r="H15" s="229"/>
      <c r="I15" s="229"/>
      <c r="J15" s="229"/>
      <c r="K15" s="229"/>
      <c r="L15" s="229"/>
      <c r="M15" s="229"/>
      <c r="N15" s="229"/>
    </row>
    <row r="16" spans="2:14">
      <c r="B16" s="910"/>
      <c r="C16" s="911">
        <f>C3+C6</f>
        <v>757</v>
      </c>
      <c r="D16" s="231" t="s">
        <v>19</v>
      </c>
      <c r="E16" s="230">
        <f>K3+K6</f>
        <v>11459.688117350399</v>
      </c>
      <c r="F16" s="230">
        <f>L3+L6</f>
        <v>3174.333608506061</v>
      </c>
      <c r="G16" s="230">
        <f>M3+M6</f>
        <v>786.24920173141084</v>
      </c>
      <c r="H16" s="229"/>
      <c r="I16" s="229"/>
      <c r="J16" s="229"/>
      <c r="K16" s="229"/>
      <c r="L16" s="229"/>
      <c r="M16" s="229"/>
      <c r="N16" s="229"/>
    </row>
    <row r="17" spans="2:13">
      <c r="B17" s="910"/>
      <c r="C17" s="912"/>
      <c r="D17" s="231" t="s">
        <v>339</v>
      </c>
      <c r="E17" s="230">
        <f>K4+K7</f>
        <v>25761.067566707203</v>
      </c>
      <c r="F17" s="230">
        <f>L4+L7</f>
        <v>7135.8157159778957</v>
      </c>
      <c r="G17" s="230">
        <f t="shared" ref="G17:G18" si="4">M4+M7</f>
        <v>1889.0590846666394</v>
      </c>
      <c r="H17" s="229"/>
      <c r="I17" s="229"/>
      <c r="J17" s="229"/>
      <c r="K17" s="229"/>
    </row>
    <row r="18" spans="2:13">
      <c r="B18" s="910"/>
      <c r="C18" s="913"/>
      <c r="D18" s="231" t="s">
        <v>341</v>
      </c>
      <c r="E18" s="230">
        <f>K5+K8</f>
        <v>0</v>
      </c>
      <c r="F18" s="230">
        <f>L5+L8</f>
        <v>0</v>
      </c>
      <c r="G18" s="230">
        <f t="shared" si="4"/>
        <v>0</v>
      </c>
      <c r="H18" s="229"/>
      <c r="I18" s="229"/>
      <c r="J18" s="229"/>
      <c r="K18" s="229"/>
    </row>
    <row r="19" spans="2:13">
      <c r="B19" s="918" t="s">
        <v>3</v>
      </c>
      <c r="C19" s="919"/>
      <c r="D19" s="920"/>
      <c r="E19" s="241">
        <f>SUM(E16:E18)</f>
        <v>37220.7556840576</v>
      </c>
      <c r="F19" s="241">
        <f t="shared" ref="F19:G19" si="5">SUM(F16:F18)</f>
        <v>10310.149324483957</v>
      </c>
      <c r="G19" s="241">
        <f t="shared" si="5"/>
        <v>2675.3082863980503</v>
      </c>
      <c r="H19" s="229"/>
      <c r="I19" s="229"/>
      <c r="J19" s="229"/>
      <c r="K19" s="229"/>
    </row>
    <row r="21" spans="2:13" ht="38.25">
      <c r="B21" s="240">
        <v>2020</v>
      </c>
      <c r="C21" s="240" t="s">
        <v>329</v>
      </c>
      <c r="D21" s="240" t="s">
        <v>330</v>
      </c>
      <c r="E21" s="240" t="s">
        <v>331</v>
      </c>
      <c r="F21" s="240" t="s">
        <v>332</v>
      </c>
      <c r="G21" s="240" t="s">
        <v>333</v>
      </c>
      <c r="H21" s="240" t="s">
        <v>334</v>
      </c>
      <c r="I21" s="240" t="s">
        <v>335</v>
      </c>
      <c r="J21" s="240" t="s">
        <v>13</v>
      </c>
      <c r="K21" s="240" t="s">
        <v>336</v>
      </c>
      <c r="L21" s="240" t="s">
        <v>337</v>
      </c>
      <c r="M21" s="240" t="s">
        <v>317</v>
      </c>
    </row>
    <row r="22" spans="2:13">
      <c r="B22" s="921" t="str">
        <f>B3</f>
        <v>Samochody ciężarowe</v>
      </c>
      <c r="C22" s="915">
        <f>D22+D23+D24</f>
        <v>699.67758186397987</v>
      </c>
      <c r="D22" s="232">
        <f>D3/Charakterystyka_2020!$L$9*Charakterystyka_2020!$AI$9</f>
        <v>202.59026028547439</v>
      </c>
      <c r="E22" s="231" t="s">
        <v>19</v>
      </c>
      <c r="F22" s="231">
        <v>0.72</v>
      </c>
      <c r="G22" s="231">
        <v>5000</v>
      </c>
      <c r="H22" s="231">
        <v>0.32100000000000001</v>
      </c>
      <c r="I22" s="231">
        <v>4.478E-2</v>
      </c>
      <c r="J22" s="231">
        <f>Wskaźniki!$C$18</f>
        <v>6.8610000000000004E-2</v>
      </c>
      <c r="K22" s="230">
        <f>D22*F22*G22*H22*I22</f>
        <v>10483.593788312341</v>
      </c>
      <c r="L22" s="230">
        <f>K22*$C$13</f>
        <v>2903.9554793625184</v>
      </c>
      <c r="M22" s="230">
        <f>K22*J22</f>
        <v>719.27936981610969</v>
      </c>
    </row>
    <row r="23" spans="2:13">
      <c r="B23" s="922"/>
      <c r="C23" s="916"/>
      <c r="D23" s="232">
        <f>D4/Charakterystyka_2020!$L$9*Charakterystyka_2020!$AI$9</f>
        <v>497.08732157850551</v>
      </c>
      <c r="E23" s="231" t="s">
        <v>339</v>
      </c>
      <c r="F23" s="231">
        <v>0.82</v>
      </c>
      <c r="G23" s="231">
        <v>5000</v>
      </c>
      <c r="H23" s="231">
        <v>0.248</v>
      </c>
      <c r="I23" s="231">
        <v>4.333E-2</v>
      </c>
      <c r="J23" s="231">
        <f>Wskaźniki!$C$21</f>
        <v>7.3330000000000006E-2</v>
      </c>
      <c r="K23" s="230">
        <f t="shared" ref="K23:K27" si="6">D23*F23*G23*H23*I23</f>
        <v>21900.645377215787</v>
      </c>
      <c r="L23" s="230">
        <f t="shared" ref="L23:L27" si="7">K23*$C$13</f>
        <v>6066.4787694887737</v>
      </c>
      <c r="M23" s="230">
        <f t="shared" ref="M23:M27" si="8">K23*J23</f>
        <v>1605.9743255112339</v>
      </c>
    </row>
    <row r="24" spans="2:13">
      <c r="B24" s="923"/>
      <c r="C24" s="917"/>
      <c r="D24" s="232">
        <v>0</v>
      </c>
      <c r="E24" s="231" t="s">
        <v>341</v>
      </c>
      <c r="F24" s="231">
        <v>0.56200000000000006</v>
      </c>
      <c r="G24" s="231">
        <v>5000</v>
      </c>
      <c r="H24" s="231">
        <v>0.32100000000000001</v>
      </c>
      <c r="I24" s="231">
        <v>4.7309999999999998E-2</v>
      </c>
      <c r="J24" s="231">
        <f>Wskaźniki!$C$15</f>
        <v>6.2440000000000002E-2</v>
      </c>
      <c r="K24" s="230">
        <f t="shared" si="6"/>
        <v>0</v>
      </c>
      <c r="L24" s="230">
        <f t="shared" si="7"/>
        <v>0</v>
      </c>
      <c r="M24" s="230">
        <f t="shared" si="8"/>
        <v>0</v>
      </c>
    </row>
    <row r="25" spans="2:13">
      <c r="B25" s="921" t="str">
        <f>B6</f>
        <v>Ciągniki samochodowe</v>
      </c>
      <c r="C25" s="915">
        <f>D25+D26+D27</f>
        <v>47.435768261964739</v>
      </c>
      <c r="D25" s="232">
        <f>D6/Charakterystyka_2020!$L$9*Charakterystyka_2020!$AI$9</f>
        <v>13.835432409739715</v>
      </c>
      <c r="E25" s="231" t="s">
        <v>19</v>
      </c>
      <c r="F25" s="231">
        <v>0.72</v>
      </c>
      <c r="G25" s="231">
        <v>5876</v>
      </c>
      <c r="H25" s="231">
        <v>0.32100000000000001</v>
      </c>
      <c r="I25" s="231">
        <v>4.478E-2</v>
      </c>
      <c r="J25" s="231">
        <f>Wskaźniki!$C$18</f>
        <v>6.8610000000000004E-2</v>
      </c>
      <c r="K25" s="230">
        <f t="shared" si="6"/>
        <v>841.38766770900156</v>
      </c>
      <c r="L25" s="230">
        <f t="shared" si="7"/>
        <v>233.06438395539345</v>
      </c>
      <c r="M25" s="230">
        <f t="shared" si="8"/>
        <v>57.727607881514601</v>
      </c>
    </row>
    <row r="26" spans="2:13">
      <c r="B26" s="922"/>
      <c r="C26" s="916"/>
      <c r="D26" s="232">
        <f>D7/Charakterystyka_2020!$L$9*Charakterystyka_2020!$AI$9</f>
        <v>33.600335852225022</v>
      </c>
      <c r="E26" s="231" t="s">
        <v>339</v>
      </c>
      <c r="F26" s="231">
        <v>0.82</v>
      </c>
      <c r="G26" s="231">
        <v>12016</v>
      </c>
      <c r="H26" s="231">
        <v>0.248</v>
      </c>
      <c r="I26" s="231">
        <v>4.333E-2</v>
      </c>
      <c r="J26" s="231">
        <f>Wskaźniki!$C$21</f>
        <v>7.3330000000000006E-2</v>
      </c>
      <c r="K26" s="230">
        <f t="shared" si="6"/>
        <v>3557.6052743496002</v>
      </c>
      <c r="L26" s="230">
        <f t="shared" si="7"/>
        <v>985.45666099483935</v>
      </c>
      <c r="M26" s="230">
        <f t="shared" si="8"/>
        <v>260.87919476805621</v>
      </c>
    </row>
    <row r="27" spans="2:13">
      <c r="B27" s="923"/>
      <c r="C27" s="917"/>
      <c r="D27" s="232">
        <v>0</v>
      </c>
      <c r="E27" s="231" t="s">
        <v>341</v>
      </c>
      <c r="F27" s="231">
        <v>0.56200000000000006</v>
      </c>
      <c r="G27" s="231">
        <v>10093</v>
      </c>
      <c r="H27" s="231">
        <v>0.32100000000000001</v>
      </c>
      <c r="I27" s="231">
        <v>4.7309999999999998E-2</v>
      </c>
      <c r="J27" s="231">
        <f>Wskaźniki!$C$15</f>
        <v>6.2440000000000002E-2</v>
      </c>
      <c r="K27" s="230">
        <f t="shared" si="6"/>
        <v>0</v>
      </c>
      <c r="L27" s="230">
        <f t="shared" si="7"/>
        <v>0</v>
      </c>
      <c r="M27" s="230">
        <f t="shared" si="8"/>
        <v>0</v>
      </c>
    </row>
    <row r="28" spans="2:13">
      <c r="B28" s="918" t="s">
        <v>3</v>
      </c>
      <c r="C28" s="919"/>
      <c r="D28" s="919"/>
      <c r="E28" s="919"/>
      <c r="F28" s="919"/>
      <c r="G28" s="919"/>
      <c r="H28" s="919"/>
      <c r="I28" s="919"/>
      <c r="J28" s="920"/>
      <c r="K28" s="241">
        <f>SUM(K22:K27)</f>
        <v>36783.232107586737</v>
      </c>
      <c r="L28" s="241">
        <f t="shared" ref="L28:M28" si="9">SUM(L22:L27)</f>
        <v>10188.955293801526</v>
      </c>
      <c r="M28" s="241">
        <f t="shared" si="9"/>
        <v>2643.8604979769148</v>
      </c>
    </row>
    <row r="30" spans="2:13" ht="25.5">
      <c r="B30" s="910" t="s">
        <v>349</v>
      </c>
      <c r="C30" s="240" t="s">
        <v>329</v>
      </c>
      <c r="D30" s="240">
        <v>2020</v>
      </c>
      <c r="E30" s="240" t="s">
        <v>336</v>
      </c>
      <c r="F30" s="240" t="s">
        <v>337</v>
      </c>
      <c r="G30" s="240" t="s">
        <v>317</v>
      </c>
      <c r="H30" s="229"/>
      <c r="I30" s="229"/>
      <c r="J30" s="229"/>
      <c r="K30" s="229"/>
    </row>
    <row r="31" spans="2:13">
      <c r="B31" s="910"/>
      <c r="C31" s="915">
        <f>C22+C25</f>
        <v>747.11335012594463</v>
      </c>
      <c r="D31" s="231" t="s">
        <v>19</v>
      </c>
      <c r="E31" s="230">
        <f>K22+K25</f>
        <v>11324.981456021342</v>
      </c>
      <c r="F31" s="230">
        <f>L22+L25</f>
        <v>3137.019863317912</v>
      </c>
      <c r="G31" s="230">
        <f>M22+M25</f>
        <v>777.00697769762428</v>
      </c>
      <c r="H31" s="229"/>
      <c r="I31" s="229"/>
      <c r="J31" s="229"/>
      <c r="K31" s="229"/>
    </row>
    <row r="32" spans="2:13">
      <c r="B32" s="910"/>
      <c r="C32" s="912"/>
      <c r="D32" s="231" t="s">
        <v>339</v>
      </c>
      <c r="E32" s="230">
        <f>K23+K26</f>
        <v>25458.250651565388</v>
      </c>
      <c r="F32" s="230">
        <f t="shared" ref="F32:G33" si="10">L23+L26</f>
        <v>7051.9354304836133</v>
      </c>
      <c r="G32" s="230">
        <f t="shared" si="10"/>
        <v>1866.85352027929</v>
      </c>
      <c r="H32" s="229"/>
      <c r="I32" s="229"/>
      <c r="J32" s="229"/>
      <c r="K32" s="229"/>
    </row>
    <row r="33" spans="2:7">
      <c r="B33" s="910"/>
      <c r="C33" s="913"/>
      <c r="D33" s="231" t="s">
        <v>341</v>
      </c>
      <c r="E33" s="230">
        <f t="shared" ref="E33" si="11">K24+K27</f>
        <v>0</v>
      </c>
      <c r="F33" s="230">
        <f t="shared" si="10"/>
        <v>0</v>
      </c>
      <c r="G33" s="230">
        <f t="shared" si="10"/>
        <v>0</v>
      </c>
    </row>
    <row r="34" spans="2:7">
      <c r="B34" s="910" t="s">
        <v>3</v>
      </c>
      <c r="C34" s="910"/>
      <c r="D34" s="910"/>
      <c r="E34" s="241">
        <f>SUM(E31:E33)</f>
        <v>36783.232107586729</v>
      </c>
      <c r="F34" s="241">
        <f t="shared" ref="F34:G34" si="12">SUM(F31:F33)</f>
        <v>10188.955293801526</v>
      </c>
      <c r="G34" s="241">
        <f t="shared" si="12"/>
        <v>2643.8604979769143</v>
      </c>
    </row>
  </sheetData>
  <mergeCells count="17">
    <mergeCell ref="B34:D34"/>
    <mergeCell ref="B11:D11"/>
    <mergeCell ref="B15:B18"/>
    <mergeCell ref="C16:C18"/>
    <mergeCell ref="B19:D19"/>
    <mergeCell ref="B22:B24"/>
    <mergeCell ref="C22:C24"/>
    <mergeCell ref="B25:B27"/>
    <mergeCell ref="C25:C27"/>
    <mergeCell ref="B28:J28"/>
    <mergeCell ref="B30:B33"/>
    <mergeCell ref="C31:C33"/>
    <mergeCell ref="B9:J9"/>
    <mergeCell ref="B3:B5"/>
    <mergeCell ref="C3:C5"/>
    <mergeCell ref="B6:B8"/>
    <mergeCell ref="C6:C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N34"/>
  <sheetViews>
    <sheetView showGridLines="0" topLeftCell="A19" zoomScale="90" zoomScaleNormal="90" workbookViewId="0">
      <selection activeCell="C3" sqref="C3:C5"/>
    </sheetView>
  </sheetViews>
  <sheetFormatPr defaultColWidth="10.875" defaultRowHeight="15"/>
  <cols>
    <col min="1" max="1" width="6.25" style="116" customWidth="1"/>
    <col min="2" max="13" width="10.875" style="116"/>
    <col min="14" max="14" width="5.375" style="116" customWidth="1"/>
    <col min="15" max="16384" width="10.875" style="116"/>
  </cols>
  <sheetData>
    <row r="2" spans="2:14" ht="38.25">
      <c r="B2" s="674">
        <v>2014</v>
      </c>
      <c r="C2" s="674" t="s">
        <v>329</v>
      </c>
      <c r="D2" s="674" t="s">
        <v>330</v>
      </c>
      <c r="E2" s="674" t="s">
        <v>331</v>
      </c>
      <c r="F2" s="674" t="s">
        <v>332</v>
      </c>
      <c r="G2" s="674" t="s">
        <v>333</v>
      </c>
      <c r="H2" s="674" t="s">
        <v>334</v>
      </c>
      <c r="I2" s="674" t="s">
        <v>335</v>
      </c>
      <c r="J2" s="674" t="s">
        <v>13</v>
      </c>
      <c r="K2" s="674" t="s">
        <v>336</v>
      </c>
      <c r="L2" s="674" t="s">
        <v>337</v>
      </c>
      <c r="M2" s="674" t="s">
        <v>317</v>
      </c>
      <c r="N2" s="229"/>
    </row>
    <row r="3" spans="2:14">
      <c r="B3" s="910" t="s">
        <v>18</v>
      </c>
      <c r="C3" s="911">
        <v>708</v>
      </c>
      <c r="D3" s="232">
        <v>205</v>
      </c>
      <c r="E3" s="231" t="s">
        <v>19</v>
      </c>
      <c r="F3" s="231">
        <v>0.72</v>
      </c>
      <c r="G3" s="231">
        <v>5000</v>
      </c>
      <c r="H3" s="231">
        <v>0.32100000000000001</v>
      </c>
      <c r="I3" s="231">
        <v>4.478E-2</v>
      </c>
      <c r="J3" s="231">
        <f>Wskaźniki!$C$18</f>
        <v>6.8610000000000004E-2</v>
      </c>
      <c r="K3" s="230">
        <f>D3*F3*G3*H3*I3</f>
        <v>10608.292439999999</v>
      </c>
      <c r="L3" s="230">
        <f>K3*$C$13</f>
        <v>2938.49700588</v>
      </c>
      <c r="M3" s="230">
        <f>K3*J3</f>
        <v>727.83494430839994</v>
      </c>
      <c r="N3" s="229"/>
    </row>
    <row r="4" spans="2:14">
      <c r="B4" s="910"/>
      <c r="C4" s="912"/>
      <c r="D4" s="232">
        <v>503</v>
      </c>
      <c r="E4" s="231" t="s">
        <v>339</v>
      </c>
      <c r="F4" s="231">
        <v>0.82</v>
      </c>
      <c r="G4" s="231">
        <v>5000</v>
      </c>
      <c r="H4" s="231">
        <v>0.248</v>
      </c>
      <c r="I4" s="231">
        <v>4.333E-2</v>
      </c>
      <c r="J4" s="231">
        <f>Wskaźniki!$C$21</f>
        <v>7.3330000000000006E-2</v>
      </c>
      <c r="K4" s="230">
        <f t="shared" ref="K4:K8" si="0">D4*F4*G4*H4*I4</f>
        <v>22161.145832000002</v>
      </c>
      <c r="L4" s="230">
        <f t="shared" ref="L4:L8" si="1">K4*$C$13</f>
        <v>6138.6373954640012</v>
      </c>
      <c r="M4" s="230">
        <f t="shared" ref="M4:M8" si="2">K4*J4</f>
        <v>1625.0768238605604</v>
      </c>
      <c r="N4" s="229"/>
    </row>
    <row r="5" spans="2:14">
      <c r="B5" s="910"/>
      <c r="C5" s="913"/>
      <c r="D5" s="232">
        <v>0</v>
      </c>
      <c r="E5" s="231" t="s">
        <v>341</v>
      </c>
      <c r="F5" s="231">
        <v>0.56200000000000006</v>
      </c>
      <c r="G5" s="231">
        <v>5000</v>
      </c>
      <c r="H5" s="231">
        <v>0.32100000000000001</v>
      </c>
      <c r="I5" s="231">
        <v>4.7309999999999998E-2</v>
      </c>
      <c r="J5" s="231">
        <f>Wskaźniki!$C$15</f>
        <v>6.2440000000000002E-2</v>
      </c>
      <c r="K5" s="230">
        <f t="shared" si="0"/>
        <v>0</v>
      </c>
      <c r="L5" s="230">
        <f t="shared" si="1"/>
        <v>0</v>
      </c>
      <c r="M5" s="230">
        <f t="shared" si="2"/>
        <v>0</v>
      </c>
      <c r="N5" s="229"/>
    </row>
    <row r="6" spans="2:14">
      <c r="B6" s="910" t="s">
        <v>21</v>
      </c>
      <c r="C6" s="911">
        <v>49</v>
      </c>
      <c r="D6" s="232">
        <v>14</v>
      </c>
      <c r="E6" s="231" t="s">
        <v>19</v>
      </c>
      <c r="F6" s="231">
        <v>0.72</v>
      </c>
      <c r="G6" s="231">
        <v>5876</v>
      </c>
      <c r="H6" s="231">
        <v>0.32100000000000001</v>
      </c>
      <c r="I6" s="231">
        <v>4.478E-2</v>
      </c>
      <c r="J6" s="231">
        <f>Wskaźniki!$C$18</f>
        <v>6.8610000000000004E-2</v>
      </c>
      <c r="K6" s="230">
        <f t="shared" si="0"/>
        <v>851.39567735039998</v>
      </c>
      <c r="L6" s="230">
        <f t="shared" si="1"/>
        <v>235.83660262606082</v>
      </c>
      <c r="M6" s="230">
        <f t="shared" si="2"/>
        <v>58.414257423010945</v>
      </c>
      <c r="N6" s="229"/>
    </row>
    <row r="7" spans="2:14">
      <c r="B7" s="910"/>
      <c r="C7" s="912"/>
      <c r="D7" s="232">
        <v>34</v>
      </c>
      <c r="E7" s="231" t="s">
        <v>339</v>
      </c>
      <c r="F7" s="231">
        <v>0.82</v>
      </c>
      <c r="G7" s="231">
        <v>12016</v>
      </c>
      <c r="H7" s="231">
        <v>0.248</v>
      </c>
      <c r="I7" s="231">
        <v>4.333E-2</v>
      </c>
      <c r="J7" s="231">
        <f>Wskaźniki!$C$21</f>
        <v>7.3330000000000006E-2</v>
      </c>
      <c r="K7" s="230">
        <f t="shared" si="0"/>
        <v>3599.9217347072004</v>
      </c>
      <c r="L7" s="230">
        <f t="shared" si="1"/>
        <v>997.17832051389462</v>
      </c>
      <c r="M7" s="230">
        <f t="shared" si="2"/>
        <v>263.98226080607901</v>
      </c>
      <c r="N7" s="229"/>
    </row>
    <row r="8" spans="2:14">
      <c r="B8" s="910"/>
      <c r="C8" s="913"/>
      <c r="D8" s="232">
        <v>0</v>
      </c>
      <c r="E8" s="231" t="s">
        <v>341</v>
      </c>
      <c r="F8" s="231">
        <v>0.56200000000000006</v>
      </c>
      <c r="G8" s="231">
        <v>10093</v>
      </c>
      <c r="H8" s="231">
        <v>0.32100000000000001</v>
      </c>
      <c r="I8" s="231">
        <v>4.7309999999999998E-2</v>
      </c>
      <c r="J8" s="231">
        <f>Wskaźniki!$C$15</f>
        <v>6.2440000000000002E-2</v>
      </c>
      <c r="K8" s="230">
        <f t="shared" si="0"/>
        <v>0</v>
      </c>
      <c r="L8" s="230">
        <f t="shared" si="1"/>
        <v>0</v>
      </c>
      <c r="M8" s="230">
        <f t="shared" si="2"/>
        <v>0</v>
      </c>
      <c r="N8" s="229"/>
    </row>
    <row r="9" spans="2:14">
      <c r="B9" s="910" t="s">
        <v>3</v>
      </c>
      <c r="C9" s="910"/>
      <c r="D9" s="910"/>
      <c r="E9" s="910"/>
      <c r="F9" s="910"/>
      <c r="G9" s="910"/>
      <c r="H9" s="910"/>
      <c r="I9" s="910"/>
      <c r="J9" s="910"/>
      <c r="K9" s="241">
        <f>SUM(K3:K8)</f>
        <v>37220.7556840576</v>
      </c>
      <c r="L9" s="241">
        <f t="shared" ref="L9:M9" si="3">SUM(L3:L8)</f>
        <v>10310.149324483957</v>
      </c>
      <c r="M9" s="241">
        <f t="shared" si="3"/>
        <v>2675.3082863980503</v>
      </c>
      <c r="N9" s="229"/>
    </row>
    <row r="10" spans="2:14">
      <c r="B10" s="229"/>
      <c r="C10" s="229"/>
      <c r="D10" s="234"/>
      <c r="E10" s="229"/>
      <c r="F10" s="229"/>
      <c r="G10" s="229"/>
      <c r="H10" s="229"/>
      <c r="I10" s="229"/>
      <c r="J10" s="229"/>
      <c r="K10" s="229"/>
      <c r="L10" s="229"/>
      <c r="M10" s="229"/>
      <c r="N10" s="229"/>
    </row>
    <row r="11" spans="2:14">
      <c r="B11" s="914" t="s">
        <v>211</v>
      </c>
      <c r="C11" s="914"/>
      <c r="D11" s="914"/>
      <c r="E11" s="233"/>
      <c r="F11" s="228"/>
      <c r="G11" s="229"/>
      <c r="H11" s="229"/>
      <c r="I11" s="229"/>
      <c r="J11" s="229"/>
      <c r="K11" s="229"/>
      <c r="L11" s="229"/>
      <c r="M11" s="229"/>
      <c r="N11" s="229"/>
    </row>
    <row r="12" spans="2:14">
      <c r="B12" s="235" t="s">
        <v>212</v>
      </c>
      <c r="C12" s="236">
        <v>3.6</v>
      </c>
      <c r="D12" s="236" t="s">
        <v>207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29"/>
    </row>
    <row r="13" spans="2:14">
      <c r="B13" s="237" t="s">
        <v>213</v>
      </c>
      <c r="C13" s="236">
        <v>0.27700000000000002</v>
      </c>
      <c r="D13" s="236" t="s">
        <v>214</v>
      </c>
      <c r="E13" s="229"/>
      <c r="F13" s="229"/>
      <c r="G13" s="229"/>
      <c r="H13" s="229"/>
      <c r="I13" s="229"/>
      <c r="J13" s="229"/>
      <c r="K13" s="229"/>
      <c r="L13" s="229"/>
      <c r="M13" s="229"/>
      <c r="N13" s="229"/>
    </row>
    <row r="15" spans="2:14" ht="25.5">
      <c r="B15" s="910" t="s">
        <v>349</v>
      </c>
      <c r="C15" s="674" t="s">
        <v>329</v>
      </c>
      <c r="D15" s="674">
        <v>2014</v>
      </c>
      <c r="E15" s="674" t="s">
        <v>336</v>
      </c>
      <c r="F15" s="674" t="s">
        <v>337</v>
      </c>
      <c r="G15" s="674" t="s">
        <v>317</v>
      </c>
      <c r="H15" s="229"/>
      <c r="I15" s="229"/>
      <c r="J15" s="229"/>
      <c r="K15" s="229"/>
      <c r="L15" s="229"/>
      <c r="M15" s="229"/>
      <c r="N15" s="229"/>
    </row>
    <row r="16" spans="2:14">
      <c r="B16" s="910"/>
      <c r="C16" s="911">
        <f>C3+C6</f>
        <v>757</v>
      </c>
      <c r="D16" s="231" t="s">
        <v>19</v>
      </c>
      <c r="E16" s="230">
        <f>K3+K6</f>
        <v>11459.688117350399</v>
      </c>
      <c r="F16" s="230">
        <f>L3+L6</f>
        <v>3174.333608506061</v>
      </c>
      <c r="G16" s="230">
        <f>M3+M6</f>
        <v>786.24920173141084</v>
      </c>
      <c r="H16" s="229"/>
      <c r="I16" s="229"/>
      <c r="J16" s="229"/>
      <c r="K16" s="229"/>
      <c r="L16" s="229"/>
      <c r="M16" s="229"/>
      <c r="N16" s="229"/>
    </row>
    <row r="17" spans="2:13">
      <c r="B17" s="910"/>
      <c r="C17" s="912"/>
      <c r="D17" s="231" t="s">
        <v>339</v>
      </c>
      <c r="E17" s="230">
        <f>K4+K7</f>
        <v>25761.067566707203</v>
      </c>
      <c r="F17" s="230">
        <f>L4+L7</f>
        <v>7135.8157159778957</v>
      </c>
      <c r="G17" s="230">
        <f t="shared" ref="G17:G18" si="4">M4+M7</f>
        <v>1889.0590846666394</v>
      </c>
      <c r="H17" s="229"/>
      <c r="I17" s="229"/>
      <c r="J17" s="229"/>
      <c r="K17" s="229"/>
    </row>
    <row r="18" spans="2:13">
      <c r="B18" s="910"/>
      <c r="C18" s="913"/>
      <c r="D18" s="231" t="s">
        <v>341</v>
      </c>
      <c r="E18" s="230">
        <f>K5+K8</f>
        <v>0</v>
      </c>
      <c r="F18" s="230">
        <f>L5+L8</f>
        <v>0</v>
      </c>
      <c r="G18" s="230">
        <f t="shared" si="4"/>
        <v>0</v>
      </c>
      <c r="H18" s="229"/>
      <c r="I18" s="229"/>
      <c r="J18" s="229"/>
      <c r="K18" s="229"/>
    </row>
    <row r="19" spans="2:13">
      <c r="B19" s="918" t="s">
        <v>3</v>
      </c>
      <c r="C19" s="919"/>
      <c r="D19" s="920"/>
      <c r="E19" s="241">
        <f>SUM(E16:E18)</f>
        <v>37220.7556840576</v>
      </c>
      <c r="F19" s="241">
        <f t="shared" ref="F19:G19" si="5">SUM(F16:F18)</f>
        <v>10310.149324483957</v>
      </c>
      <c r="G19" s="241">
        <f t="shared" si="5"/>
        <v>2675.3082863980503</v>
      </c>
      <c r="H19" s="229"/>
      <c r="I19" s="229"/>
      <c r="J19" s="229"/>
      <c r="K19" s="229"/>
    </row>
    <row r="21" spans="2:13" ht="38.25">
      <c r="B21" s="674">
        <v>2024</v>
      </c>
      <c r="C21" s="674" t="s">
        <v>329</v>
      </c>
      <c r="D21" s="674" t="s">
        <v>330</v>
      </c>
      <c r="E21" s="674" t="s">
        <v>331</v>
      </c>
      <c r="F21" s="674" t="s">
        <v>332</v>
      </c>
      <c r="G21" s="674" t="s">
        <v>333</v>
      </c>
      <c r="H21" s="674" t="s">
        <v>334</v>
      </c>
      <c r="I21" s="674" t="s">
        <v>335</v>
      </c>
      <c r="J21" s="674" t="s">
        <v>13</v>
      </c>
      <c r="K21" s="674" t="s">
        <v>336</v>
      </c>
      <c r="L21" s="674" t="s">
        <v>337</v>
      </c>
      <c r="M21" s="674" t="s">
        <v>317</v>
      </c>
    </row>
    <row r="22" spans="2:13">
      <c r="B22" s="921" t="str">
        <f>B3</f>
        <v>Samochody ciężarowe</v>
      </c>
      <c r="C22" s="915">
        <f>D22+D23+D24</f>
        <v>694.52560873215793</v>
      </c>
      <c r="D22" s="232">
        <f>D3/Charakterystyka_2020!$L$9*Charakterystyka_2024!AI9</f>
        <v>201.09851665267283</v>
      </c>
      <c r="E22" s="231" t="s">
        <v>19</v>
      </c>
      <c r="F22" s="231">
        <v>0.72</v>
      </c>
      <c r="G22" s="231">
        <v>5000</v>
      </c>
      <c r="H22" s="231">
        <v>0.32100000000000001</v>
      </c>
      <c r="I22" s="231">
        <v>4.478E-2</v>
      </c>
      <c r="J22" s="231">
        <f>Wskaźniki!$C$18</f>
        <v>6.8610000000000004E-2</v>
      </c>
      <c r="K22" s="230">
        <f>D22*F22*G22*H22*I22</f>
        <v>10406.399384886648</v>
      </c>
      <c r="L22" s="230">
        <f>K22*$C$13</f>
        <v>2882.5726296136017</v>
      </c>
      <c r="M22" s="230">
        <f>K22*J22</f>
        <v>713.98306179707299</v>
      </c>
    </row>
    <row r="23" spans="2:13">
      <c r="B23" s="922"/>
      <c r="C23" s="916"/>
      <c r="D23" s="232">
        <f>D4/Charakterystyka_2020!$L$9*Charakterystyka_2024!AI9</f>
        <v>493.42709207948508</v>
      </c>
      <c r="E23" s="231" t="s">
        <v>339</v>
      </c>
      <c r="F23" s="231">
        <v>0.82</v>
      </c>
      <c r="G23" s="231">
        <v>5000</v>
      </c>
      <c r="H23" s="231">
        <v>0.248</v>
      </c>
      <c r="I23" s="231">
        <v>4.333E-2</v>
      </c>
      <c r="J23" s="231">
        <f>Wskaźniki!$C$21</f>
        <v>7.3330000000000006E-2</v>
      </c>
      <c r="K23" s="230">
        <f t="shared" ref="K23:K27" si="6">D23*F23*G23*H23*I23</f>
        <v>21739.383190920795</v>
      </c>
      <c r="L23" s="230">
        <f t="shared" ref="L23:L27" si="7">K23*$C$13</f>
        <v>6021.8091438850606</v>
      </c>
      <c r="M23" s="230">
        <f t="shared" ref="M23:M27" si="8">K23*J23</f>
        <v>1594.148969390222</v>
      </c>
    </row>
    <row r="24" spans="2:13">
      <c r="B24" s="923"/>
      <c r="C24" s="917"/>
      <c r="D24" s="232">
        <v>0</v>
      </c>
      <c r="E24" s="231" t="s">
        <v>341</v>
      </c>
      <c r="F24" s="231">
        <v>0.56200000000000006</v>
      </c>
      <c r="G24" s="231">
        <v>5000</v>
      </c>
      <c r="H24" s="231">
        <v>0.32100000000000001</v>
      </c>
      <c r="I24" s="231">
        <v>4.7309999999999998E-2</v>
      </c>
      <c r="J24" s="231">
        <f>Wskaźniki!$C$15</f>
        <v>6.2440000000000002E-2</v>
      </c>
      <c r="K24" s="230">
        <f t="shared" si="6"/>
        <v>0</v>
      </c>
      <c r="L24" s="230">
        <f t="shared" si="7"/>
        <v>0</v>
      </c>
      <c r="M24" s="230">
        <f t="shared" si="8"/>
        <v>0</v>
      </c>
    </row>
    <row r="25" spans="2:13">
      <c r="B25" s="921" t="str">
        <f>B6</f>
        <v>Ciągniki samochodowe</v>
      </c>
      <c r="C25" s="915">
        <f>D25+D26+D27</f>
        <v>47.0864819479429</v>
      </c>
      <c r="D25" s="232">
        <f>D6/Charakterystyka_2020!$L$9*Charakterystyka_2024!AI9</f>
        <v>13.733557234816681</v>
      </c>
      <c r="E25" s="231" t="s">
        <v>19</v>
      </c>
      <c r="F25" s="231">
        <v>0.72</v>
      </c>
      <c r="G25" s="231">
        <v>5876</v>
      </c>
      <c r="H25" s="231">
        <v>0.32100000000000001</v>
      </c>
      <c r="I25" s="231">
        <v>4.478E-2</v>
      </c>
      <c r="J25" s="231">
        <f>Wskaźniki!$C$18</f>
        <v>6.8610000000000004E-2</v>
      </c>
      <c r="K25" s="230">
        <f t="shared" si="6"/>
        <v>835.19223316908801</v>
      </c>
      <c r="L25" s="230">
        <f t="shared" si="7"/>
        <v>231.34824858783739</v>
      </c>
      <c r="M25" s="230">
        <f t="shared" si="8"/>
        <v>57.302539117731129</v>
      </c>
    </row>
    <row r="26" spans="2:13">
      <c r="B26" s="922"/>
      <c r="C26" s="916"/>
      <c r="D26" s="232">
        <f>D7/Charakterystyka_2020!$L$9*Charakterystyka_2024!AI9</f>
        <v>33.352924713126221</v>
      </c>
      <c r="E26" s="231" t="s">
        <v>339</v>
      </c>
      <c r="F26" s="231">
        <v>0.82</v>
      </c>
      <c r="G26" s="231">
        <v>12016</v>
      </c>
      <c r="H26" s="231">
        <v>0.248</v>
      </c>
      <c r="I26" s="231">
        <v>4.333E-2</v>
      </c>
      <c r="J26" s="231">
        <f>Wskaźniki!$C$21</f>
        <v>7.3330000000000006E-2</v>
      </c>
      <c r="K26" s="230">
        <f t="shared" si="6"/>
        <v>3531.4093703187059</v>
      </c>
      <c r="L26" s="230">
        <f t="shared" si="7"/>
        <v>978.20039557828159</v>
      </c>
      <c r="M26" s="230">
        <f t="shared" si="8"/>
        <v>258.95824912547073</v>
      </c>
    </row>
    <row r="27" spans="2:13">
      <c r="B27" s="923"/>
      <c r="C27" s="917"/>
      <c r="D27" s="232">
        <v>0</v>
      </c>
      <c r="E27" s="231" t="s">
        <v>341</v>
      </c>
      <c r="F27" s="231">
        <v>0.56200000000000006</v>
      </c>
      <c r="G27" s="231">
        <v>10093</v>
      </c>
      <c r="H27" s="231">
        <v>0.32100000000000001</v>
      </c>
      <c r="I27" s="231">
        <v>4.7309999999999998E-2</v>
      </c>
      <c r="J27" s="231">
        <f>Wskaźniki!$C$15</f>
        <v>6.2440000000000002E-2</v>
      </c>
      <c r="K27" s="230">
        <f t="shared" si="6"/>
        <v>0</v>
      </c>
      <c r="L27" s="230">
        <f t="shared" si="7"/>
        <v>0</v>
      </c>
      <c r="M27" s="230">
        <f t="shared" si="8"/>
        <v>0</v>
      </c>
    </row>
    <row r="28" spans="2:13">
      <c r="B28" s="918" t="s">
        <v>3</v>
      </c>
      <c r="C28" s="919"/>
      <c r="D28" s="919"/>
      <c r="E28" s="919"/>
      <c r="F28" s="919"/>
      <c r="G28" s="919"/>
      <c r="H28" s="919"/>
      <c r="I28" s="919"/>
      <c r="J28" s="920"/>
      <c r="K28" s="241">
        <f>SUM(K22:K27)</f>
        <v>36512.384179295237</v>
      </c>
      <c r="L28" s="241">
        <f t="shared" ref="L28:M28" si="9">SUM(L22:L27)</f>
        <v>10113.930417664782</v>
      </c>
      <c r="M28" s="241">
        <f t="shared" si="9"/>
        <v>2624.3928194304972</v>
      </c>
    </row>
    <row r="30" spans="2:13" ht="25.5">
      <c r="B30" s="910" t="s">
        <v>349</v>
      </c>
      <c r="C30" s="674" t="s">
        <v>329</v>
      </c>
      <c r="D30" s="674">
        <v>2024</v>
      </c>
      <c r="E30" s="674" t="s">
        <v>336</v>
      </c>
      <c r="F30" s="674" t="s">
        <v>337</v>
      </c>
      <c r="G30" s="674" t="s">
        <v>317</v>
      </c>
      <c r="H30" s="229"/>
      <c r="I30" s="229"/>
      <c r="J30" s="229"/>
      <c r="K30" s="229"/>
    </row>
    <row r="31" spans="2:13">
      <c r="B31" s="910"/>
      <c r="C31" s="915">
        <f>C22+C25</f>
        <v>741.61209068010089</v>
      </c>
      <c r="D31" s="231" t="s">
        <v>19</v>
      </c>
      <c r="E31" s="230">
        <f>K22+K25</f>
        <v>11241.591618055736</v>
      </c>
      <c r="F31" s="230">
        <f>L22+L25</f>
        <v>3113.9208782014393</v>
      </c>
      <c r="G31" s="230">
        <f>M22+M25</f>
        <v>771.28560091480415</v>
      </c>
      <c r="H31" s="229"/>
      <c r="I31" s="229"/>
      <c r="J31" s="229"/>
      <c r="K31" s="229"/>
    </row>
    <row r="32" spans="2:13">
      <c r="B32" s="910"/>
      <c r="C32" s="912"/>
      <c r="D32" s="231" t="s">
        <v>339</v>
      </c>
      <c r="E32" s="230">
        <f>K23+K26</f>
        <v>25270.792561239501</v>
      </c>
      <c r="F32" s="230">
        <f t="shared" ref="F32:G33" si="10">L23+L26</f>
        <v>7000.0095394633427</v>
      </c>
      <c r="G32" s="230">
        <f t="shared" si="10"/>
        <v>1853.1072185156927</v>
      </c>
      <c r="H32" s="229"/>
      <c r="I32" s="229"/>
      <c r="J32" s="229"/>
      <c r="K32" s="229"/>
    </row>
    <row r="33" spans="2:7">
      <c r="B33" s="910"/>
      <c r="C33" s="913"/>
      <c r="D33" s="231" t="s">
        <v>341</v>
      </c>
      <c r="E33" s="230">
        <f t="shared" ref="E33" si="11">K24+K27</f>
        <v>0</v>
      </c>
      <c r="F33" s="230">
        <f t="shared" si="10"/>
        <v>0</v>
      </c>
      <c r="G33" s="230">
        <f t="shared" si="10"/>
        <v>0</v>
      </c>
    </row>
    <row r="34" spans="2:7">
      <c r="B34" s="910" t="s">
        <v>3</v>
      </c>
      <c r="C34" s="910"/>
      <c r="D34" s="910"/>
      <c r="E34" s="241">
        <f>SUM(E31:E33)</f>
        <v>36512.384179295237</v>
      </c>
      <c r="F34" s="241">
        <f t="shared" ref="F34:G34" si="12">SUM(F31:F33)</f>
        <v>10113.930417664782</v>
      </c>
      <c r="G34" s="241">
        <f t="shared" si="12"/>
        <v>2624.3928194304967</v>
      </c>
    </row>
  </sheetData>
  <mergeCells count="17">
    <mergeCell ref="B28:J28"/>
    <mergeCell ref="B30:B33"/>
    <mergeCell ref="C31:C33"/>
    <mergeCell ref="B34:D34"/>
    <mergeCell ref="B15:B18"/>
    <mergeCell ref="C16:C18"/>
    <mergeCell ref="B19:D19"/>
    <mergeCell ref="B22:B24"/>
    <mergeCell ref="C22:C24"/>
    <mergeCell ref="B25:B27"/>
    <mergeCell ref="C25:C27"/>
    <mergeCell ref="B11:D11"/>
    <mergeCell ref="B3:B5"/>
    <mergeCell ref="C3:C5"/>
    <mergeCell ref="B6:B8"/>
    <mergeCell ref="C6:C8"/>
    <mergeCell ref="B9:J9"/>
  </mergeCells>
  <pageMargins left="0.7" right="0.7" top="0.75" bottom="0.75" header="0.3" footer="0.3"/>
  <pageSetup paperSize="9" scale="46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N28"/>
  <sheetViews>
    <sheetView showGridLines="0" zoomScale="90" zoomScaleNormal="90" workbookViewId="0">
      <selection activeCell="K34" sqref="K34"/>
    </sheetView>
  </sheetViews>
  <sheetFormatPr defaultColWidth="10.875" defaultRowHeight="15"/>
  <cols>
    <col min="1" max="1" width="3.75" style="116" customWidth="1"/>
    <col min="2" max="13" width="10.875" style="116"/>
    <col min="14" max="14" width="4.75" style="116" customWidth="1"/>
    <col min="15" max="16384" width="10.875" style="116"/>
  </cols>
  <sheetData>
    <row r="2" spans="2:14" ht="38.25">
      <c r="B2" s="240">
        <v>2014</v>
      </c>
      <c r="C2" s="240" t="s">
        <v>329</v>
      </c>
      <c r="D2" s="240" t="s">
        <v>330</v>
      </c>
      <c r="E2" s="240" t="s">
        <v>331</v>
      </c>
      <c r="F2" s="240" t="s">
        <v>332</v>
      </c>
      <c r="G2" s="240" t="s">
        <v>333</v>
      </c>
      <c r="H2" s="240" t="s">
        <v>334</v>
      </c>
      <c r="I2" s="240" t="s">
        <v>335</v>
      </c>
      <c r="J2" s="240" t="s">
        <v>13</v>
      </c>
      <c r="K2" s="240" t="s">
        <v>336</v>
      </c>
      <c r="L2" s="240" t="s">
        <v>337</v>
      </c>
      <c r="M2" s="240" t="s">
        <v>317</v>
      </c>
      <c r="N2" s="229"/>
    </row>
    <row r="3" spans="2:14">
      <c r="B3" s="910" t="s">
        <v>20</v>
      </c>
      <c r="C3" s="911">
        <v>9</v>
      </c>
      <c r="D3" s="232">
        <v>0</v>
      </c>
      <c r="E3" s="231" t="s">
        <v>19</v>
      </c>
      <c r="F3" s="231">
        <v>0.72</v>
      </c>
      <c r="G3" s="231">
        <v>5000</v>
      </c>
      <c r="H3" s="231">
        <v>0.27800000000000002</v>
      </c>
      <c r="I3" s="231">
        <v>4.478E-2</v>
      </c>
      <c r="J3" s="231">
        <f>Wskaźniki!$C$18</f>
        <v>6.8610000000000004E-2</v>
      </c>
      <c r="K3" s="230">
        <f>D3*F3*G3*H3*I3</f>
        <v>0</v>
      </c>
      <c r="L3" s="230">
        <f>K3*$C$10</f>
        <v>0</v>
      </c>
      <c r="M3" s="230">
        <f>K3*J3</f>
        <v>0</v>
      </c>
      <c r="N3" s="229"/>
    </row>
    <row r="4" spans="2:14">
      <c r="B4" s="910"/>
      <c r="C4" s="912"/>
      <c r="D4" s="232">
        <v>9</v>
      </c>
      <c r="E4" s="231" t="s">
        <v>339</v>
      </c>
      <c r="F4" s="231">
        <v>0.82</v>
      </c>
      <c r="G4" s="231">
        <v>5000</v>
      </c>
      <c r="H4" s="231">
        <v>0.27800000000000002</v>
      </c>
      <c r="I4" s="231">
        <v>4.333E-2</v>
      </c>
      <c r="J4" s="231">
        <f>Wskaźniki!$C$21</f>
        <v>7.3330000000000006E-2</v>
      </c>
      <c r="K4" s="230">
        <f t="shared" ref="K4:K5" si="0">D4*F4*G4*H4*I4</f>
        <v>444.48780600000003</v>
      </c>
      <c r="L4" s="230">
        <f>K4*$C$10</f>
        <v>123.12312226200002</v>
      </c>
      <c r="M4" s="230">
        <f t="shared" ref="M4:M5" si="1">K4*J4</f>
        <v>32.594290813980002</v>
      </c>
      <c r="N4" s="229"/>
    </row>
    <row r="5" spans="2:14">
      <c r="B5" s="910"/>
      <c r="C5" s="913"/>
      <c r="D5" s="232">
        <v>0</v>
      </c>
      <c r="E5" s="231" t="s">
        <v>341</v>
      </c>
      <c r="F5" s="231">
        <v>0.56200000000000006</v>
      </c>
      <c r="G5" s="231">
        <v>5000</v>
      </c>
      <c r="H5" s="231">
        <v>0.27800000000000002</v>
      </c>
      <c r="I5" s="231">
        <v>4.7309999999999998E-2</v>
      </c>
      <c r="J5" s="231">
        <f>Wskaźniki!$C$15</f>
        <v>6.2440000000000002E-2</v>
      </c>
      <c r="K5" s="230">
        <f t="shared" si="0"/>
        <v>0</v>
      </c>
      <c r="L5" s="230">
        <f>K5*$C$10</f>
        <v>0</v>
      </c>
      <c r="M5" s="230">
        <f t="shared" si="1"/>
        <v>0</v>
      </c>
      <c r="N5" s="229"/>
    </row>
    <row r="6" spans="2:14">
      <c r="B6" s="910" t="s">
        <v>3</v>
      </c>
      <c r="C6" s="910"/>
      <c r="D6" s="910"/>
      <c r="E6" s="910"/>
      <c r="F6" s="910"/>
      <c r="G6" s="910"/>
      <c r="H6" s="910"/>
      <c r="I6" s="910"/>
      <c r="J6" s="910"/>
      <c r="K6" s="241">
        <f>SUM(K3:K5)</f>
        <v>444.48780600000003</v>
      </c>
      <c r="L6" s="241">
        <f t="shared" ref="L6:M6" si="2">SUM(L3:L5)</f>
        <v>123.12312226200002</v>
      </c>
      <c r="M6" s="241">
        <f t="shared" si="2"/>
        <v>32.594290813980002</v>
      </c>
      <c r="N6" s="229"/>
    </row>
    <row r="7" spans="2:14">
      <c r="B7" s="229"/>
      <c r="C7" s="229"/>
      <c r="D7" s="234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2:14">
      <c r="B8" s="924" t="s">
        <v>211</v>
      </c>
      <c r="C8" s="924"/>
      <c r="D8" s="924"/>
      <c r="E8" s="233"/>
      <c r="F8" s="228"/>
      <c r="G8" s="229"/>
      <c r="H8" s="229"/>
      <c r="I8" s="229"/>
      <c r="J8" s="229"/>
      <c r="K8" s="229"/>
      <c r="L8" s="229"/>
      <c r="M8" s="229"/>
      <c r="N8" s="229"/>
    </row>
    <row r="9" spans="2:14">
      <c r="B9" s="242" t="s">
        <v>212</v>
      </c>
      <c r="C9" s="236">
        <v>3.6</v>
      </c>
      <c r="D9" s="236" t="s">
        <v>207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</row>
    <row r="10" spans="2:14">
      <c r="B10" s="243" t="s">
        <v>213</v>
      </c>
      <c r="C10" s="236">
        <v>0.27700000000000002</v>
      </c>
      <c r="D10" s="236" t="s">
        <v>214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</row>
    <row r="11" spans="2:14">
      <c r="N11" s="229"/>
    </row>
    <row r="12" spans="2:14" ht="25.5">
      <c r="B12" s="910" t="s">
        <v>512</v>
      </c>
      <c r="C12" s="240" t="s">
        <v>329</v>
      </c>
      <c r="D12" s="240">
        <v>2014</v>
      </c>
      <c r="E12" s="240" t="s">
        <v>336</v>
      </c>
      <c r="F12" s="240" t="s">
        <v>337</v>
      </c>
      <c r="G12" s="240" t="s">
        <v>317</v>
      </c>
      <c r="H12" s="229"/>
      <c r="I12" s="229"/>
      <c r="J12" s="229"/>
      <c r="K12" s="229"/>
      <c r="L12" s="229"/>
      <c r="M12" s="229"/>
      <c r="N12" s="229"/>
    </row>
    <row r="13" spans="2:14">
      <c r="B13" s="910"/>
      <c r="C13" s="911">
        <f>C3</f>
        <v>9</v>
      </c>
      <c r="D13" s="231" t="s">
        <v>19</v>
      </c>
      <c r="E13" s="230">
        <f t="shared" ref="E13:G15" si="3">K3</f>
        <v>0</v>
      </c>
      <c r="F13" s="230">
        <f t="shared" si="3"/>
        <v>0</v>
      </c>
      <c r="G13" s="230">
        <f t="shared" si="3"/>
        <v>0</v>
      </c>
      <c r="H13" s="229"/>
      <c r="I13" s="229"/>
      <c r="J13" s="229"/>
      <c r="K13" s="229"/>
      <c r="L13" s="229"/>
      <c r="M13" s="229"/>
      <c r="N13" s="229"/>
    </row>
    <row r="14" spans="2:14">
      <c r="B14" s="910"/>
      <c r="C14" s="912"/>
      <c r="D14" s="231" t="s">
        <v>339</v>
      </c>
      <c r="E14" s="230">
        <f t="shared" si="3"/>
        <v>444.48780600000003</v>
      </c>
      <c r="F14" s="230">
        <f t="shared" si="3"/>
        <v>123.12312226200002</v>
      </c>
      <c r="G14" s="230">
        <f t="shared" si="3"/>
        <v>32.594290813980002</v>
      </c>
      <c r="H14" s="229"/>
      <c r="I14" s="229"/>
      <c r="J14" s="229"/>
      <c r="K14" s="229"/>
    </row>
    <row r="15" spans="2:14">
      <c r="B15" s="910"/>
      <c r="C15" s="913"/>
      <c r="D15" s="231" t="s">
        <v>341</v>
      </c>
      <c r="E15" s="230">
        <f t="shared" si="3"/>
        <v>0</v>
      </c>
      <c r="F15" s="230">
        <f t="shared" si="3"/>
        <v>0</v>
      </c>
      <c r="G15" s="230">
        <f t="shared" si="3"/>
        <v>0</v>
      </c>
      <c r="H15" s="229"/>
      <c r="I15" s="229"/>
      <c r="J15" s="229"/>
      <c r="K15" s="229"/>
      <c r="N15" s="229"/>
    </row>
    <row r="16" spans="2:14">
      <c r="B16" s="918" t="s">
        <v>3</v>
      </c>
      <c r="C16" s="919"/>
      <c r="D16" s="920"/>
      <c r="E16" s="241">
        <f>SUM(E13:E15)</f>
        <v>444.48780600000003</v>
      </c>
      <c r="F16" s="241">
        <f t="shared" ref="F16:G16" si="4">SUM(F13:F15)</f>
        <v>123.12312226200002</v>
      </c>
      <c r="G16" s="241">
        <f t="shared" si="4"/>
        <v>32.594290813980002</v>
      </c>
      <c r="H16" s="229"/>
      <c r="I16" s="229"/>
      <c r="J16" s="229"/>
      <c r="K16" s="229"/>
      <c r="N16" s="229"/>
    </row>
    <row r="18" spans="2:13" ht="38.25">
      <c r="B18" s="240">
        <v>2020</v>
      </c>
      <c r="C18" s="240" t="s">
        <v>329</v>
      </c>
      <c r="D18" s="240" t="s">
        <v>330</v>
      </c>
      <c r="E18" s="240" t="s">
        <v>331</v>
      </c>
      <c r="F18" s="240" t="s">
        <v>332</v>
      </c>
      <c r="G18" s="240" t="s">
        <v>333</v>
      </c>
      <c r="H18" s="240" t="s">
        <v>334</v>
      </c>
      <c r="I18" s="240" t="s">
        <v>335</v>
      </c>
      <c r="J18" s="240" t="s">
        <v>13</v>
      </c>
      <c r="K18" s="240" t="s">
        <v>336</v>
      </c>
      <c r="L18" s="240" t="s">
        <v>337</v>
      </c>
      <c r="M18" s="240" t="s">
        <v>317</v>
      </c>
    </row>
    <row r="19" spans="2:13">
      <c r="B19" s="921" t="str">
        <f>B3</f>
        <v>Autobusy</v>
      </c>
      <c r="C19" s="915">
        <f>D20</f>
        <v>8</v>
      </c>
      <c r="D19" s="232">
        <v>0</v>
      </c>
      <c r="E19" s="231" t="s">
        <v>19</v>
      </c>
      <c r="F19" s="231">
        <v>0.72</v>
      </c>
      <c r="G19" s="231">
        <v>5000</v>
      </c>
      <c r="H19" s="231">
        <v>0.27800000000000002</v>
      </c>
      <c r="I19" s="231">
        <v>4.478E-2</v>
      </c>
      <c r="J19" s="231">
        <f>Wskaźniki!$C$18</f>
        <v>6.8610000000000004E-2</v>
      </c>
      <c r="K19" s="230">
        <f>D19*F19*G19*H19*I19</f>
        <v>0</v>
      </c>
      <c r="L19" s="230">
        <f>K19*$C$10</f>
        <v>0</v>
      </c>
      <c r="M19" s="230">
        <f>K19*J19</f>
        <v>0</v>
      </c>
    </row>
    <row r="20" spans="2:13">
      <c r="B20" s="922"/>
      <c r="C20" s="916"/>
      <c r="D20" s="232">
        <f>INT(D4/Charakterystyka_2020!$L$9*Charakterystyka_2020!$AI$9)</f>
        <v>8</v>
      </c>
      <c r="E20" s="231" t="s">
        <v>339</v>
      </c>
      <c r="F20" s="231">
        <v>0.82</v>
      </c>
      <c r="G20" s="231">
        <v>5000</v>
      </c>
      <c r="H20" s="231">
        <v>0.27800000000000002</v>
      </c>
      <c r="I20" s="231">
        <v>4.333E-2</v>
      </c>
      <c r="J20" s="231">
        <f>Wskaźniki!$C$21</f>
        <v>7.3330000000000006E-2</v>
      </c>
      <c r="K20" s="230">
        <f t="shared" ref="K20:K21" si="5">D20*F20*G20*H20*I20</f>
        <v>395.10027200000007</v>
      </c>
      <c r="L20" s="230">
        <f t="shared" ref="L20:L21" si="6">K20*$C$10</f>
        <v>109.44277534400003</v>
      </c>
      <c r="M20" s="230">
        <f t="shared" ref="M20:M21" si="7">K20*J20</f>
        <v>28.972702945760009</v>
      </c>
    </row>
    <row r="21" spans="2:13">
      <c r="B21" s="923"/>
      <c r="C21" s="917"/>
      <c r="D21" s="232">
        <v>0</v>
      </c>
      <c r="E21" s="231" t="s">
        <v>341</v>
      </c>
      <c r="F21" s="231">
        <v>0.56200000000000006</v>
      </c>
      <c r="G21" s="231">
        <v>5000</v>
      </c>
      <c r="H21" s="231">
        <v>0.27800000000000002</v>
      </c>
      <c r="I21" s="231">
        <v>4.7309999999999998E-2</v>
      </c>
      <c r="J21" s="231">
        <f>Wskaźniki!$C$15</f>
        <v>6.2440000000000002E-2</v>
      </c>
      <c r="K21" s="230">
        <f t="shared" si="5"/>
        <v>0</v>
      </c>
      <c r="L21" s="230">
        <f t="shared" si="6"/>
        <v>0</v>
      </c>
      <c r="M21" s="230">
        <f t="shared" si="7"/>
        <v>0</v>
      </c>
    </row>
    <row r="22" spans="2:13" ht="15" customHeight="1">
      <c r="B22" s="918" t="s">
        <v>3</v>
      </c>
      <c r="C22" s="919"/>
      <c r="D22" s="919"/>
      <c r="E22" s="919"/>
      <c r="F22" s="919"/>
      <c r="G22" s="919"/>
      <c r="H22" s="919"/>
      <c r="I22" s="919"/>
      <c r="J22" s="920"/>
      <c r="K22" s="241">
        <f>SUM(K19:K21)</f>
        <v>395.10027200000007</v>
      </c>
      <c r="L22" s="241">
        <f t="shared" ref="L22:M22" si="8">SUM(L19:L21)</f>
        <v>109.44277534400003</v>
      </c>
      <c r="M22" s="241">
        <f t="shared" si="8"/>
        <v>28.972702945760009</v>
      </c>
    </row>
    <row r="24" spans="2:13" ht="25.5">
      <c r="B24" s="910" t="str">
        <f>B12</f>
        <v>TRANSPORT KOMERCYJNY AUTOBUSY</v>
      </c>
      <c r="C24" s="240" t="s">
        <v>329</v>
      </c>
      <c r="D24" s="240">
        <v>2020</v>
      </c>
      <c r="E24" s="240" t="s">
        <v>336</v>
      </c>
      <c r="F24" s="240" t="s">
        <v>337</v>
      </c>
      <c r="G24" s="240" t="s">
        <v>317</v>
      </c>
      <c r="H24" s="229"/>
      <c r="I24" s="229"/>
      <c r="J24" s="229"/>
      <c r="K24" s="229"/>
    </row>
    <row r="25" spans="2:13">
      <c r="B25" s="910"/>
      <c r="C25" s="915">
        <f>C19</f>
        <v>8</v>
      </c>
      <c r="D25" s="231" t="s">
        <v>19</v>
      </c>
      <c r="E25" s="230">
        <f>K19</f>
        <v>0</v>
      </c>
      <c r="F25" s="230">
        <f t="shared" ref="F25:G25" si="9">L19</f>
        <v>0</v>
      </c>
      <c r="G25" s="230">
        <f t="shared" si="9"/>
        <v>0</v>
      </c>
      <c r="H25" s="229"/>
      <c r="I25" s="229"/>
      <c r="J25" s="229"/>
      <c r="K25" s="229"/>
    </row>
    <row r="26" spans="2:13">
      <c r="B26" s="910"/>
      <c r="C26" s="912"/>
      <c r="D26" s="231" t="s">
        <v>339</v>
      </c>
      <c r="E26" s="230">
        <f>K20</f>
        <v>395.10027200000007</v>
      </c>
      <c r="F26" s="230">
        <f t="shared" ref="F26:G26" si="10">L20</f>
        <v>109.44277534400003</v>
      </c>
      <c r="G26" s="230">
        <f t="shared" si="10"/>
        <v>28.972702945760009</v>
      </c>
      <c r="H26" s="229"/>
      <c r="I26" s="229"/>
      <c r="J26" s="229"/>
      <c r="K26" s="229"/>
    </row>
    <row r="27" spans="2:13">
      <c r="B27" s="910"/>
      <c r="C27" s="913"/>
      <c r="D27" s="231" t="s">
        <v>341</v>
      </c>
      <c r="E27" s="230">
        <f>K21</f>
        <v>0</v>
      </c>
      <c r="F27" s="230">
        <f t="shared" ref="F27:G27" si="11">L21</f>
        <v>0</v>
      </c>
      <c r="G27" s="230">
        <f t="shared" si="11"/>
        <v>0</v>
      </c>
    </row>
    <row r="28" spans="2:13">
      <c r="B28" s="910" t="s">
        <v>3</v>
      </c>
      <c r="C28" s="910"/>
      <c r="D28" s="910"/>
      <c r="E28" s="241">
        <f>SUM(E25:E27)</f>
        <v>395.10027200000007</v>
      </c>
      <c r="F28" s="241">
        <f t="shared" ref="F28:G28" si="12">SUM(F25:F27)</f>
        <v>109.44277534400003</v>
      </c>
      <c r="G28" s="241">
        <f t="shared" si="12"/>
        <v>28.972702945760009</v>
      </c>
    </row>
  </sheetData>
  <mergeCells count="13">
    <mergeCell ref="B28:D28"/>
    <mergeCell ref="B8:D8"/>
    <mergeCell ref="B12:B15"/>
    <mergeCell ref="C13:C15"/>
    <mergeCell ref="B16:D16"/>
    <mergeCell ref="B19:B21"/>
    <mergeCell ref="C19:C21"/>
    <mergeCell ref="B3:B5"/>
    <mergeCell ref="C3:C5"/>
    <mergeCell ref="B6:J6"/>
    <mergeCell ref="B22:J22"/>
    <mergeCell ref="B24:B27"/>
    <mergeCell ref="C25:C2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N28"/>
  <sheetViews>
    <sheetView showGridLines="0" topLeftCell="A13" zoomScale="90" zoomScaleNormal="90" workbookViewId="0">
      <selection activeCell="C3" sqref="C3:C5"/>
    </sheetView>
  </sheetViews>
  <sheetFormatPr defaultColWidth="10.875" defaultRowHeight="15"/>
  <cols>
    <col min="1" max="1" width="3.75" style="116" customWidth="1"/>
    <col min="2" max="13" width="10.875" style="116"/>
    <col min="14" max="14" width="4.75" style="116" customWidth="1"/>
    <col min="15" max="16384" width="10.875" style="116"/>
  </cols>
  <sheetData>
    <row r="2" spans="2:14" ht="38.25">
      <c r="B2" s="674">
        <v>2014</v>
      </c>
      <c r="C2" s="674" t="s">
        <v>329</v>
      </c>
      <c r="D2" s="674" t="s">
        <v>330</v>
      </c>
      <c r="E2" s="674" t="s">
        <v>331</v>
      </c>
      <c r="F2" s="674" t="s">
        <v>332</v>
      </c>
      <c r="G2" s="674" t="s">
        <v>333</v>
      </c>
      <c r="H2" s="674" t="s">
        <v>334</v>
      </c>
      <c r="I2" s="674" t="s">
        <v>335</v>
      </c>
      <c r="J2" s="674" t="s">
        <v>13</v>
      </c>
      <c r="K2" s="674" t="s">
        <v>336</v>
      </c>
      <c r="L2" s="674" t="s">
        <v>337</v>
      </c>
      <c r="M2" s="674" t="s">
        <v>317</v>
      </c>
      <c r="N2" s="229"/>
    </row>
    <row r="3" spans="2:14">
      <c r="B3" s="910" t="s">
        <v>20</v>
      </c>
      <c r="C3" s="911">
        <v>9</v>
      </c>
      <c r="D3" s="232">
        <v>0</v>
      </c>
      <c r="E3" s="231" t="s">
        <v>19</v>
      </c>
      <c r="F3" s="231">
        <v>0.72</v>
      </c>
      <c r="G3" s="231">
        <v>5000</v>
      </c>
      <c r="H3" s="231">
        <v>0.27800000000000002</v>
      </c>
      <c r="I3" s="231">
        <v>4.478E-2</v>
      </c>
      <c r="J3" s="231">
        <f>Wskaźniki!$C$18</f>
        <v>6.8610000000000004E-2</v>
      </c>
      <c r="K3" s="230">
        <f>D3*F3*G3*H3*I3</f>
        <v>0</v>
      </c>
      <c r="L3" s="230">
        <f>K3*$C$10</f>
        <v>0</v>
      </c>
      <c r="M3" s="230">
        <f>K3*J3</f>
        <v>0</v>
      </c>
      <c r="N3" s="229"/>
    </row>
    <row r="4" spans="2:14">
      <c r="B4" s="910"/>
      <c r="C4" s="912"/>
      <c r="D4" s="232">
        <v>9</v>
      </c>
      <c r="E4" s="231" t="s">
        <v>339</v>
      </c>
      <c r="F4" s="231">
        <v>0.82</v>
      </c>
      <c r="G4" s="231">
        <v>5000</v>
      </c>
      <c r="H4" s="231">
        <v>0.27800000000000002</v>
      </c>
      <c r="I4" s="231">
        <v>4.333E-2</v>
      </c>
      <c r="J4" s="231">
        <f>Wskaźniki!$C$21</f>
        <v>7.3330000000000006E-2</v>
      </c>
      <c r="K4" s="230">
        <f t="shared" ref="K4:K5" si="0">D4*F4*G4*H4*I4</f>
        <v>444.48780600000003</v>
      </c>
      <c r="L4" s="230">
        <f>K4*$C$10</f>
        <v>123.12312226200002</v>
      </c>
      <c r="M4" s="230">
        <f t="shared" ref="M4:M5" si="1">K4*J4</f>
        <v>32.594290813980002</v>
      </c>
      <c r="N4" s="229"/>
    </row>
    <row r="5" spans="2:14">
      <c r="B5" s="910"/>
      <c r="C5" s="913"/>
      <c r="D5" s="232">
        <v>0</v>
      </c>
      <c r="E5" s="231" t="s">
        <v>341</v>
      </c>
      <c r="F5" s="231">
        <v>0.56200000000000006</v>
      </c>
      <c r="G5" s="231">
        <v>5000</v>
      </c>
      <c r="H5" s="231">
        <v>0.27800000000000002</v>
      </c>
      <c r="I5" s="231">
        <v>4.7309999999999998E-2</v>
      </c>
      <c r="J5" s="231">
        <f>Wskaźniki!$C$15</f>
        <v>6.2440000000000002E-2</v>
      </c>
      <c r="K5" s="230">
        <f t="shared" si="0"/>
        <v>0</v>
      </c>
      <c r="L5" s="230">
        <f>K5*$C$10</f>
        <v>0</v>
      </c>
      <c r="M5" s="230">
        <f t="shared" si="1"/>
        <v>0</v>
      </c>
      <c r="N5" s="229"/>
    </row>
    <row r="6" spans="2:14">
      <c r="B6" s="910" t="s">
        <v>3</v>
      </c>
      <c r="C6" s="910"/>
      <c r="D6" s="910"/>
      <c r="E6" s="910"/>
      <c r="F6" s="910"/>
      <c r="G6" s="910"/>
      <c r="H6" s="910"/>
      <c r="I6" s="910"/>
      <c r="J6" s="910"/>
      <c r="K6" s="241">
        <f>SUM(K3:K5)</f>
        <v>444.48780600000003</v>
      </c>
      <c r="L6" s="241">
        <f t="shared" ref="L6:M6" si="2">SUM(L3:L5)</f>
        <v>123.12312226200002</v>
      </c>
      <c r="M6" s="241">
        <f t="shared" si="2"/>
        <v>32.594290813980002</v>
      </c>
      <c r="N6" s="229"/>
    </row>
    <row r="7" spans="2:14">
      <c r="B7" s="229"/>
      <c r="C7" s="229"/>
      <c r="D7" s="234"/>
      <c r="E7" s="229"/>
      <c r="F7" s="229"/>
      <c r="G7" s="229"/>
      <c r="H7" s="229"/>
      <c r="I7" s="229"/>
      <c r="J7" s="229"/>
      <c r="K7" s="229"/>
      <c r="L7" s="229"/>
      <c r="M7" s="229"/>
      <c r="N7" s="229"/>
    </row>
    <row r="8" spans="2:14">
      <c r="B8" s="924" t="s">
        <v>211</v>
      </c>
      <c r="C8" s="924"/>
      <c r="D8" s="924"/>
      <c r="E8" s="233"/>
      <c r="F8" s="228"/>
      <c r="G8" s="229"/>
      <c r="H8" s="229"/>
      <c r="I8" s="229"/>
      <c r="J8" s="229"/>
      <c r="K8" s="229"/>
      <c r="L8" s="229"/>
      <c r="M8" s="229"/>
      <c r="N8" s="229"/>
    </row>
    <row r="9" spans="2:14">
      <c r="B9" s="242" t="s">
        <v>212</v>
      </c>
      <c r="C9" s="236">
        <v>3.6</v>
      </c>
      <c r="D9" s="236" t="s">
        <v>207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</row>
    <row r="10" spans="2:14">
      <c r="B10" s="243" t="s">
        <v>213</v>
      </c>
      <c r="C10" s="236">
        <v>0.27700000000000002</v>
      </c>
      <c r="D10" s="236" t="s">
        <v>214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</row>
    <row r="11" spans="2:14">
      <c r="N11" s="229"/>
    </row>
    <row r="12" spans="2:14" ht="25.5">
      <c r="B12" s="910" t="s">
        <v>512</v>
      </c>
      <c r="C12" s="674" t="s">
        <v>329</v>
      </c>
      <c r="D12" s="674">
        <v>2014</v>
      </c>
      <c r="E12" s="674" t="s">
        <v>336</v>
      </c>
      <c r="F12" s="674" t="s">
        <v>337</v>
      </c>
      <c r="G12" s="674" t="s">
        <v>317</v>
      </c>
      <c r="H12" s="229"/>
      <c r="I12" s="229"/>
      <c r="J12" s="229"/>
      <c r="K12" s="229"/>
      <c r="L12" s="229"/>
      <c r="M12" s="229"/>
      <c r="N12" s="229"/>
    </row>
    <row r="13" spans="2:14">
      <c r="B13" s="910"/>
      <c r="C13" s="911">
        <f>C3</f>
        <v>9</v>
      </c>
      <c r="D13" s="231" t="s">
        <v>19</v>
      </c>
      <c r="E13" s="230">
        <f t="shared" ref="E13:G15" si="3">K3</f>
        <v>0</v>
      </c>
      <c r="F13" s="230">
        <f t="shared" si="3"/>
        <v>0</v>
      </c>
      <c r="G13" s="230">
        <f t="shared" si="3"/>
        <v>0</v>
      </c>
      <c r="H13" s="229"/>
      <c r="I13" s="229"/>
      <c r="J13" s="229"/>
      <c r="K13" s="229"/>
      <c r="L13" s="229"/>
      <c r="M13" s="229"/>
      <c r="N13" s="229"/>
    </row>
    <row r="14" spans="2:14">
      <c r="B14" s="910"/>
      <c r="C14" s="912"/>
      <c r="D14" s="231" t="s">
        <v>339</v>
      </c>
      <c r="E14" s="230">
        <f t="shared" si="3"/>
        <v>444.48780600000003</v>
      </c>
      <c r="F14" s="230">
        <f t="shared" si="3"/>
        <v>123.12312226200002</v>
      </c>
      <c r="G14" s="230">
        <f t="shared" si="3"/>
        <v>32.594290813980002</v>
      </c>
      <c r="H14" s="229"/>
      <c r="I14" s="229"/>
      <c r="J14" s="229"/>
      <c r="K14" s="229"/>
    </row>
    <row r="15" spans="2:14">
      <c r="B15" s="910"/>
      <c r="C15" s="913"/>
      <c r="D15" s="231" t="s">
        <v>341</v>
      </c>
      <c r="E15" s="230">
        <f t="shared" si="3"/>
        <v>0</v>
      </c>
      <c r="F15" s="230">
        <f t="shared" si="3"/>
        <v>0</v>
      </c>
      <c r="G15" s="230">
        <f t="shared" si="3"/>
        <v>0</v>
      </c>
      <c r="H15" s="229"/>
      <c r="I15" s="229"/>
      <c r="J15" s="229"/>
      <c r="K15" s="229"/>
      <c r="N15" s="229"/>
    </row>
    <row r="16" spans="2:14">
      <c r="B16" s="918" t="s">
        <v>3</v>
      </c>
      <c r="C16" s="919"/>
      <c r="D16" s="920"/>
      <c r="E16" s="241">
        <f>SUM(E13:E15)</f>
        <v>444.48780600000003</v>
      </c>
      <c r="F16" s="241">
        <f t="shared" ref="F16:G16" si="4">SUM(F13:F15)</f>
        <v>123.12312226200002</v>
      </c>
      <c r="G16" s="241">
        <f t="shared" si="4"/>
        <v>32.594290813980002</v>
      </c>
      <c r="H16" s="229"/>
      <c r="I16" s="229"/>
      <c r="J16" s="229"/>
      <c r="K16" s="229"/>
      <c r="N16" s="229"/>
    </row>
    <row r="18" spans="2:13" ht="38.25">
      <c r="B18" s="674">
        <v>2024</v>
      </c>
      <c r="C18" s="674" t="s">
        <v>329</v>
      </c>
      <c r="D18" s="674" t="s">
        <v>330</v>
      </c>
      <c r="E18" s="674" t="s">
        <v>331</v>
      </c>
      <c r="F18" s="674" t="s">
        <v>332</v>
      </c>
      <c r="G18" s="674" t="s">
        <v>333</v>
      </c>
      <c r="H18" s="674" t="s">
        <v>334</v>
      </c>
      <c r="I18" s="674" t="s">
        <v>335</v>
      </c>
      <c r="J18" s="674" t="s">
        <v>13</v>
      </c>
      <c r="K18" s="674" t="s">
        <v>336</v>
      </c>
      <c r="L18" s="674" t="s">
        <v>337</v>
      </c>
      <c r="M18" s="674" t="s">
        <v>317</v>
      </c>
    </row>
    <row r="19" spans="2:13">
      <c r="B19" s="921" t="str">
        <f>B3</f>
        <v>Autobusy</v>
      </c>
      <c r="C19" s="915">
        <f>D20</f>
        <v>8</v>
      </c>
      <c r="D19" s="232">
        <v>0</v>
      </c>
      <c r="E19" s="231" t="s">
        <v>19</v>
      </c>
      <c r="F19" s="231">
        <v>0.72</v>
      </c>
      <c r="G19" s="231">
        <v>5000</v>
      </c>
      <c r="H19" s="231">
        <v>0.27800000000000002</v>
      </c>
      <c r="I19" s="231">
        <v>4.478E-2</v>
      </c>
      <c r="J19" s="231">
        <f>Wskaźniki!$C$18</f>
        <v>6.8610000000000004E-2</v>
      </c>
      <c r="K19" s="230">
        <f>D19*F19*G19*H19*I19</f>
        <v>0</v>
      </c>
      <c r="L19" s="230">
        <f>K19*$C$10</f>
        <v>0</v>
      </c>
      <c r="M19" s="230">
        <f>K19*J19</f>
        <v>0</v>
      </c>
    </row>
    <row r="20" spans="2:13">
      <c r="B20" s="922"/>
      <c r="C20" s="916"/>
      <c r="D20" s="232">
        <f>INT(D4/Charakterystyka_2020!$L$9*Charakterystyka_2024!AI9)</f>
        <v>8</v>
      </c>
      <c r="E20" s="231" t="s">
        <v>339</v>
      </c>
      <c r="F20" s="231">
        <v>0.82</v>
      </c>
      <c r="G20" s="231">
        <v>5000</v>
      </c>
      <c r="H20" s="231">
        <v>0.27800000000000002</v>
      </c>
      <c r="I20" s="231">
        <v>4.333E-2</v>
      </c>
      <c r="J20" s="231">
        <f>Wskaźniki!$C$21</f>
        <v>7.3330000000000006E-2</v>
      </c>
      <c r="K20" s="230">
        <f t="shared" ref="K20:K21" si="5">D20*F20*G20*H20*I20</f>
        <v>395.10027200000007</v>
      </c>
      <c r="L20" s="230">
        <f t="shared" ref="L20:L21" si="6">K20*$C$10</f>
        <v>109.44277534400003</v>
      </c>
      <c r="M20" s="230">
        <f t="shared" ref="M20:M21" si="7">K20*J20</f>
        <v>28.972702945760009</v>
      </c>
    </row>
    <row r="21" spans="2:13">
      <c r="B21" s="923"/>
      <c r="C21" s="917"/>
      <c r="D21" s="232">
        <v>0</v>
      </c>
      <c r="E21" s="231" t="s">
        <v>341</v>
      </c>
      <c r="F21" s="231">
        <v>0.56200000000000006</v>
      </c>
      <c r="G21" s="231">
        <v>5000</v>
      </c>
      <c r="H21" s="231">
        <v>0.27800000000000002</v>
      </c>
      <c r="I21" s="231">
        <v>4.7309999999999998E-2</v>
      </c>
      <c r="J21" s="231">
        <f>Wskaźniki!$C$15</f>
        <v>6.2440000000000002E-2</v>
      </c>
      <c r="K21" s="230">
        <f t="shared" si="5"/>
        <v>0</v>
      </c>
      <c r="L21" s="230">
        <f t="shared" si="6"/>
        <v>0</v>
      </c>
      <c r="M21" s="230">
        <f t="shared" si="7"/>
        <v>0</v>
      </c>
    </row>
    <row r="22" spans="2:13" ht="15" customHeight="1">
      <c r="B22" s="918" t="s">
        <v>3</v>
      </c>
      <c r="C22" s="919"/>
      <c r="D22" s="919"/>
      <c r="E22" s="919"/>
      <c r="F22" s="919"/>
      <c r="G22" s="919"/>
      <c r="H22" s="919"/>
      <c r="I22" s="919"/>
      <c r="J22" s="920"/>
      <c r="K22" s="241">
        <f>SUM(K19:K21)</f>
        <v>395.10027200000007</v>
      </c>
      <c r="L22" s="241">
        <f t="shared" ref="L22:M22" si="8">SUM(L19:L21)</f>
        <v>109.44277534400003</v>
      </c>
      <c r="M22" s="241">
        <f t="shared" si="8"/>
        <v>28.972702945760009</v>
      </c>
    </row>
    <row r="24" spans="2:13" ht="25.5">
      <c r="B24" s="910" t="str">
        <f>B12</f>
        <v>TRANSPORT KOMERCYJNY AUTOBUSY</v>
      </c>
      <c r="C24" s="674" t="s">
        <v>329</v>
      </c>
      <c r="D24" s="674">
        <v>2024</v>
      </c>
      <c r="E24" s="674" t="s">
        <v>336</v>
      </c>
      <c r="F24" s="674" t="s">
        <v>337</v>
      </c>
      <c r="G24" s="674" t="s">
        <v>317</v>
      </c>
      <c r="H24" s="229"/>
      <c r="I24" s="229"/>
      <c r="J24" s="229"/>
      <c r="K24" s="229"/>
    </row>
    <row r="25" spans="2:13">
      <c r="B25" s="910"/>
      <c r="C25" s="915">
        <f>C19</f>
        <v>8</v>
      </c>
      <c r="D25" s="231" t="s">
        <v>19</v>
      </c>
      <c r="E25" s="230">
        <f>K19</f>
        <v>0</v>
      </c>
      <c r="F25" s="230">
        <f t="shared" ref="F25:G27" si="9">L19</f>
        <v>0</v>
      </c>
      <c r="G25" s="230">
        <f t="shared" si="9"/>
        <v>0</v>
      </c>
      <c r="H25" s="229"/>
      <c r="I25" s="229"/>
      <c r="J25" s="229"/>
      <c r="K25" s="229"/>
    </row>
    <row r="26" spans="2:13">
      <c r="B26" s="910"/>
      <c r="C26" s="912"/>
      <c r="D26" s="231" t="s">
        <v>339</v>
      </c>
      <c r="E26" s="230">
        <f>K20</f>
        <v>395.10027200000007</v>
      </c>
      <c r="F26" s="230">
        <f t="shared" si="9"/>
        <v>109.44277534400003</v>
      </c>
      <c r="G26" s="230">
        <f t="shared" si="9"/>
        <v>28.972702945760009</v>
      </c>
      <c r="H26" s="229"/>
      <c r="I26" s="229"/>
      <c r="J26" s="229"/>
      <c r="K26" s="229"/>
    </row>
    <row r="27" spans="2:13">
      <c r="B27" s="910"/>
      <c r="C27" s="913"/>
      <c r="D27" s="231" t="s">
        <v>341</v>
      </c>
      <c r="E27" s="230">
        <f>K21</f>
        <v>0</v>
      </c>
      <c r="F27" s="230">
        <f t="shared" si="9"/>
        <v>0</v>
      </c>
      <c r="G27" s="230">
        <f t="shared" si="9"/>
        <v>0</v>
      </c>
    </row>
    <row r="28" spans="2:13">
      <c r="B28" s="910" t="s">
        <v>3</v>
      </c>
      <c r="C28" s="910"/>
      <c r="D28" s="910"/>
      <c r="E28" s="241">
        <f>SUM(E25:E27)</f>
        <v>395.10027200000007</v>
      </c>
      <c r="F28" s="241">
        <f t="shared" ref="F28:G28" si="10">SUM(F25:F27)</f>
        <v>109.44277534400003</v>
      </c>
      <c r="G28" s="241">
        <f t="shared" si="10"/>
        <v>28.972702945760009</v>
      </c>
    </row>
  </sheetData>
  <mergeCells count="13">
    <mergeCell ref="B28:D28"/>
    <mergeCell ref="B16:D16"/>
    <mergeCell ref="B19:B21"/>
    <mergeCell ref="C19:C21"/>
    <mergeCell ref="B22:J22"/>
    <mergeCell ref="B24:B27"/>
    <mergeCell ref="C25:C27"/>
    <mergeCell ref="B3:B5"/>
    <mergeCell ref="C3:C5"/>
    <mergeCell ref="B6:J6"/>
    <mergeCell ref="B8:D8"/>
    <mergeCell ref="B12:B15"/>
    <mergeCell ref="C13:C15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Q50"/>
  <sheetViews>
    <sheetView showGridLines="0" topLeftCell="A10" workbookViewId="0">
      <selection activeCell="P45" sqref="P45"/>
    </sheetView>
  </sheetViews>
  <sheetFormatPr defaultRowHeight="12.75"/>
  <cols>
    <col min="1" max="1" width="5" style="262" customWidth="1"/>
    <col min="2" max="2" width="24.625" style="270" customWidth="1"/>
    <col min="3" max="3" width="12.625" style="270" customWidth="1"/>
    <col min="4" max="4" width="12.125" style="262" customWidth="1"/>
    <col min="5" max="5" width="9.125" style="599" customWidth="1"/>
    <col min="6" max="7" width="9" style="262"/>
    <col min="8" max="10" width="10" style="262" bestFit="1" customWidth="1"/>
    <col min="11" max="11" width="4.625" style="263" customWidth="1"/>
    <col min="12" max="12" width="14.125" style="262" customWidth="1"/>
    <col min="13" max="16384" width="9" style="262"/>
  </cols>
  <sheetData>
    <row r="2" spans="2:17" ht="45.75" customHeight="1">
      <c r="B2" s="591">
        <v>2014</v>
      </c>
      <c r="C2" s="591" t="s">
        <v>354</v>
      </c>
      <c r="D2" s="591" t="s">
        <v>353</v>
      </c>
      <c r="E2" s="591" t="s">
        <v>332</v>
      </c>
      <c r="F2" s="591" t="s">
        <v>335</v>
      </c>
      <c r="G2" s="591" t="s">
        <v>13</v>
      </c>
      <c r="H2" s="591" t="s">
        <v>336</v>
      </c>
      <c r="I2" s="591" t="s">
        <v>337</v>
      </c>
      <c r="J2" s="591" t="s">
        <v>317</v>
      </c>
      <c r="K2" s="245"/>
      <c r="L2" s="925" t="s">
        <v>45</v>
      </c>
      <c r="M2" s="925"/>
    </row>
    <row r="3" spans="2:17" ht="16.5" customHeight="1">
      <c r="B3" s="926" t="s">
        <v>350</v>
      </c>
      <c r="C3" s="591" t="s">
        <v>19</v>
      </c>
      <c r="D3" s="592">
        <f>$M$3*11435</f>
        <v>3316.1499999999996</v>
      </c>
      <c r="E3" s="594">
        <f>Wskaźniki!$C$19</f>
        <v>0.72</v>
      </c>
      <c r="F3" s="593">
        <f>Wskaźniki!$C$17</f>
        <v>4.48E-2</v>
      </c>
      <c r="G3" s="593">
        <f>Wskaźniki!$C$18</f>
        <v>6.8610000000000004E-2</v>
      </c>
      <c r="H3" s="594">
        <f>D3*E3*F3</f>
        <v>106.96573439999999</v>
      </c>
      <c r="I3" s="594">
        <f t="shared" ref="I3:I14" si="0">H3*$C$19</f>
        <v>29.629508428799998</v>
      </c>
      <c r="J3" s="594">
        <f>H3*G3</f>
        <v>7.3389190371839996</v>
      </c>
      <c r="K3" s="250"/>
      <c r="L3" s="251" t="s">
        <v>338</v>
      </c>
      <c r="M3" s="252">
        <v>0.28999999999999998</v>
      </c>
    </row>
    <row r="4" spans="2:17" ht="16.5" customHeight="1">
      <c r="B4" s="926"/>
      <c r="C4" s="591" t="s">
        <v>339</v>
      </c>
      <c r="D4" s="592">
        <f>$M$4*11435</f>
        <v>8004.4999999999991</v>
      </c>
      <c r="E4" s="594">
        <f>Wskaźniki!$C$19</f>
        <v>0.72</v>
      </c>
      <c r="F4" s="593">
        <f>Wskaźniki!$C$20</f>
        <v>4.333E-2</v>
      </c>
      <c r="G4" s="593">
        <f>Wskaźniki!$C$21</f>
        <v>7.3330000000000006E-2</v>
      </c>
      <c r="H4" s="594">
        <f t="shared" ref="H4:H12" si="1">D4*E4*F4</f>
        <v>249.72118919999994</v>
      </c>
      <c r="I4" s="594">
        <f t="shared" si="0"/>
        <v>69.172769408399986</v>
      </c>
      <c r="J4" s="594">
        <f t="shared" ref="J4:J12" si="2">H4*G4</f>
        <v>18.312054804035999</v>
      </c>
      <c r="K4" s="250"/>
      <c r="L4" s="251" t="s">
        <v>340</v>
      </c>
      <c r="M4" s="252">
        <v>0.7</v>
      </c>
    </row>
    <row r="5" spans="2:17" ht="16.5" customHeight="1">
      <c r="B5" s="926"/>
      <c r="C5" s="591" t="s">
        <v>341</v>
      </c>
      <c r="D5" s="592">
        <f>$M$5*11435</f>
        <v>114.35000000000001</v>
      </c>
      <c r="E5" s="594">
        <f>Wskaźniki!$C$19</f>
        <v>0.72</v>
      </c>
      <c r="F5" s="593">
        <f>Wskaźniki!$C$14</f>
        <v>4.7309999999999998E-2</v>
      </c>
      <c r="G5" s="593">
        <f>Wskaźniki!$C$15</f>
        <v>6.2440000000000002E-2</v>
      </c>
      <c r="H5" s="594">
        <f t="shared" si="1"/>
        <v>3.89512692</v>
      </c>
      <c r="I5" s="594">
        <f t="shared" si="0"/>
        <v>1.0789501568400002</v>
      </c>
      <c r="J5" s="594">
        <f t="shared" si="2"/>
        <v>0.2432117248848</v>
      </c>
      <c r="K5" s="250"/>
      <c r="L5" s="251" t="s">
        <v>342</v>
      </c>
      <c r="M5" s="252">
        <v>0.01</v>
      </c>
    </row>
    <row r="6" spans="2:17" ht="16.5" customHeight="1">
      <c r="B6" s="926" t="s">
        <v>351</v>
      </c>
      <c r="C6" s="591" t="s">
        <v>19</v>
      </c>
      <c r="D6" s="592">
        <f>$M$3*40000</f>
        <v>11600</v>
      </c>
      <c r="E6" s="594">
        <f>Wskaźniki!$C$19</f>
        <v>0.72</v>
      </c>
      <c r="F6" s="593">
        <f>Wskaźniki!$C$17</f>
        <v>4.48E-2</v>
      </c>
      <c r="G6" s="593">
        <f>Wskaźniki!$C$18</f>
        <v>6.8610000000000004E-2</v>
      </c>
      <c r="H6" s="594">
        <f t="shared" si="1"/>
        <v>374.1696</v>
      </c>
      <c r="I6" s="594">
        <f t="shared" si="0"/>
        <v>103.64497920000001</v>
      </c>
      <c r="J6" s="594">
        <f t="shared" si="2"/>
        <v>25.671776256000001</v>
      </c>
      <c r="K6" s="250"/>
      <c r="L6" s="253"/>
      <c r="M6" s="254"/>
      <c r="N6" s="263"/>
    </row>
    <row r="7" spans="2:17" ht="16.5" customHeight="1">
      <c r="B7" s="926"/>
      <c r="C7" s="591" t="s">
        <v>339</v>
      </c>
      <c r="D7" s="592">
        <f>$M$4*40000</f>
        <v>28000</v>
      </c>
      <c r="E7" s="594">
        <f>Wskaźniki!$C$19</f>
        <v>0.72</v>
      </c>
      <c r="F7" s="593">
        <f>Wskaźniki!$C$20</f>
        <v>4.333E-2</v>
      </c>
      <c r="G7" s="593">
        <f>Wskaźniki!$C$21</f>
        <v>7.3330000000000006E-2</v>
      </c>
      <c r="H7" s="594">
        <f t="shared" ref="H7:H11" si="3">D7*E7*F7</f>
        <v>873.53280000000007</v>
      </c>
      <c r="I7" s="594">
        <f t="shared" si="0"/>
        <v>241.96858560000004</v>
      </c>
      <c r="J7" s="594">
        <f t="shared" ref="J7:J11" si="4">H7*G7</f>
        <v>64.05616022400001</v>
      </c>
      <c r="K7" s="250"/>
      <c r="L7" s="253"/>
      <c r="M7" s="254"/>
      <c r="N7" s="263"/>
    </row>
    <row r="8" spans="2:17" ht="16.5" customHeight="1">
      <c r="B8" s="926"/>
      <c r="C8" s="591" t="s">
        <v>341</v>
      </c>
      <c r="D8" s="592">
        <f>$M$5*40000</f>
        <v>400</v>
      </c>
      <c r="E8" s="594">
        <f>Wskaźniki!$C$19</f>
        <v>0.72</v>
      </c>
      <c r="F8" s="593">
        <f>Wskaźniki!$C$14</f>
        <v>4.7309999999999998E-2</v>
      </c>
      <c r="G8" s="593">
        <f>Wskaźniki!$C$15</f>
        <v>6.2440000000000002E-2</v>
      </c>
      <c r="H8" s="594">
        <f t="shared" si="3"/>
        <v>13.62528</v>
      </c>
      <c r="I8" s="594">
        <f t="shared" si="0"/>
        <v>3.7742025600000004</v>
      </c>
      <c r="J8" s="594">
        <f t="shared" si="4"/>
        <v>0.85076248320000003</v>
      </c>
      <c r="K8" s="250"/>
      <c r="L8" s="253"/>
      <c r="M8" s="254"/>
      <c r="N8" s="263"/>
    </row>
    <row r="9" spans="2:17" ht="16.5" customHeight="1">
      <c r="B9" s="926" t="s">
        <v>388</v>
      </c>
      <c r="C9" s="591" t="s">
        <v>19</v>
      </c>
      <c r="D9" s="592">
        <f>$M$3*10637</f>
        <v>3084.7299999999996</v>
      </c>
      <c r="E9" s="594">
        <f>Wskaźniki!$C$19</f>
        <v>0.72</v>
      </c>
      <c r="F9" s="593">
        <f>Wskaźniki!$C$17</f>
        <v>4.48E-2</v>
      </c>
      <c r="G9" s="593">
        <f>Wskaźniki!$C$18</f>
        <v>6.8610000000000004E-2</v>
      </c>
      <c r="H9" s="594">
        <f t="shared" si="3"/>
        <v>99.50105087999998</v>
      </c>
      <c r="I9" s="594">
        <f t="shared" si="0"/>
        <v>27.561791093759997</v>
      </c>
      <c r="J9" s="594">
        <f t="shared" si="4"/>
        <v>6.8267671008767987</v>
      </c>
      <c r="K9" s="250"/>
      <c r="L9" s="253"/>
      <c r="M9" s="254"/>
      <c r="N9" s="263"/>
    </row>
    <row r="10" spans="2:17" ht="16.5" customHeight="1">
      <c r="B10" s="926"/>
      <c r="C10" s="591" t="s">
        <v>339</v>
      </c>
      <c r="D10" s="592">
        <f t="shared" ref="D10:D11" si="5">$M$3*10637</f>
        <v>3084.7299999999996</v>
      </c>
      <c r="E10" s="594">
        <f>Wskaźniki!$C$19</f>
        <v>0.72</v>
      </c>
      <c r="F10" s="593">
        <f>Wskaźniki!$C$20</f>
        <v>4.333E-2</v>
      </c>
      <c r="G10" s="593">
        <f>Wskaźniki!$C$21</f>
        <v>7.3330000000000006E-2</v>
      </c>
      <c r="H10" s="594">
        <f t="shared" si="3"/>
        <v>96.236172647999979</v>
      </c>
      <c r="I10" s="594">
        <f t="shared" si="0"/>
        <v>26.657419823495996</v>
      </c>
      <c r="J10" s="594">
        <f t="shared" si="4"/>
        <v>7.0569985402778395</v>
      </c>
      <c r="K10" s="250"/>
      <c r="L10" s="253"/>
      <c r="M10" s="254"/>
      <c r="N10" s="263"/>
    </row>
    <row r="11" spans="2:17" ht="16.5" customHeight="1">
      <c r="B11" s="926"/>
      <c r="C11" s="591" t="s">
        <v>341</v>
      </c>
      <c r="D11" s="592">
        <f t="shared" si="5"/>
        <v>3084.7299999999996</v>
      </c>
      <c r="E11" s="594">
        <f>Wskaźniki!$C$19</f>
        <v>0.72</v>
      </c>
      <c r="F11" s="593">
        <v>4.7309999999999998E-2</v>
      </c>
      <c r="G11" s="593">
        <v>6.2440000000000002E-2</v>
      </c>
      <c r="H11" s="594">
        <f t="shared" si="3"/>
        <v>105.07577493599997</v>
      </c>
      <c r="I11" s="594">
        <f t="shared" si="0"/>
        <v>29.105989657271994</v>
      </c>
      <c r="J11" s="594">
        <f t="shared" si="4"/>
        <v>6.5609313870038388</v>
      </c>
      <c r="K11" s="250"/>
      <c r="L11" s="253"/>
      <c r="M11" s="254"/>
      <c r="N11" s="263"/>
    </row>
    <row r="12" spans="2:17" ht="16.5" customHeight="1">
      <c r="B12" s="926" t="s">
        <v>352</v>
      </c>
      <c r="C12" s="591" t="s">
        <v>19</v>
      </c>
      <c r="D12" s="592">
        <f>$M$3*46000</f>
        <v>13339.999999999998</v>
      </c>
      <c r="E12" s="594">
        <f>Wskaźniki!$C$19</f>
        <v>0.72</v>
      </c>
      <c r="F12" s="593">
        <f>Wskaźniki!$C$17</f>
        <v>4.48E-2</v>
      </c>
      <c r="G12" s="593">
        <f>Wskaźniki!$C$18</f>
        <v>6.8610000000000004E-2</v>
      </c>
      <c r="H12" s="594">
        <f t="shared" si="1"/>
        <v>430.29503999999986</v>
      </c>
      <c r="I12" s="594">
        <f t="shared" si="0"/>
        <v>119.19172607999997</v>
      </c>
      <c r="J12" s="594">
        <f t="shared" si="2"/>
        <v>29.522542694399991</v>
      </c>
      <c r="K12" s="250"/>
      <c r="L12" s="253"/>
      <c r="M12" s="254"/>
      <c r="N12" s="263"/>
    </row>
    <row r="13" spans="2:17" ht="16.5" customHeight="1">
      <c r="B13" s="926"/>
      <c r="C13" s="591" t="s">
        <v>339</v>
      </c>
      <c r="D13" s="592">
        <f>$M$4*46000</f>
        <v>32199.999999999996</v>
      </c>
      <c r="E13" s="594">
        <f>Wskaźniki!$C$19</f>
        <v>0.72</v>
      </c>
      <c r="F13" s="593">
        <f>Wskaźniki!$C$20</f>
        <v>4.333E-2</v>
      </c>
      <c r="G13" s="593">
        <f>Wskaźniki!$C$21</f>
        <v>7.3330000000000006E-2</v>
      </c>
      <c r="H13" s="594">
        <f t="shared" ref="H13:H14" si="6">D13*E13*F13</f>
        <v>1004.5627199999999</v>
      </c>
      <c r="I13" s="594">
        <f t="shared" si="0"/>
        <v>278.26387344</v>
      </c>
      <c r="J13" s="594">
        <f t="shared" ref="J13:J14" si="7">H13*G13</f>
        <v>73.664584257599998</v>
      </c>
      <c r="K13" s="250"/>
      <c r="L13" s="253"/>
      <c r="M13" s="254"/>
      <c r="N13" s="263"/>
    </row>
    <row r="14" spans="2:17" ht="16.5" customHeight="1">
      <c r="B14" s="926"/>
      <c r="C14" s="591" t="s">
        <v>341</v>
      </c>
      <c r="D14" s="592">
        <f>$M$5*46000</f>
        <v>460</v>
      </c>
      <c r="E14" s="594">
        <f>Wskaźniki!$C$19</f>
        <v>0.72</v>
      </c>
      <c r="F14" s="593">
        <v>4.7309999999999998E-2</v>
      </c>
      <c r="G14" s="593">
        <v>6.2440000000000002E-2</v>
      </c>
      <c r="H14" s="594">
        <f t="shared" si="6"/>
        <v>15.669071999999998</v>
      </c>
      <c r="I14" s="594">
        <f t="shared" si="0"/>
        <v>4.340332944</v>
      </c>
      <c r="J14" s="594">
        <f t="shared" si="7"/>
        <v>0.97837685567999988</v>
      </c>
      <c r="K14" s="250"/>
      <c r="L14" s="253"/>
      <c r="M14" s="254"/>
      <c r="N14" s="263"/>
    </row>
    <row r="15" spans="2:17" ht="16.5" customHeight="1">
      <c r="B15" s="926" t="s">
        <v>3</v>
      </c>
      <c r="C15" s="926"/>
      <c r="D15" s="595">
        <f>SUM(D3:D14)</f>
        <v>106689.18999999999</v>
      </c>
      <c r="E15" s="597"/>
      <c r="F15" s="257"/>
      <c r="G15" s="257"/>
      <c r="H15" s="596">
        <f>SUM(H3:H14)</f>
        <v>3373.2495609839998</v>
      </c>
      <c r="I15" s="596">
        <f t="shared" ref="I15:J15" si="8">SUM(I3:I14)</f>
        <v>934.39012839256793</v>
      </c>
      <c r="J15" s="596">
        <f t="shared" si="8"/>
        <v>241.08308536514326</v>
      </c>
      <c r="K15" s="245"/>
      <c r="L15" s="259"/>
      <c r="M15" s="259"/>
      <c r="N15" s="259"/>
      <c r="O15" s="264"/>
      <c r="P15" s="260"/>
      <c r="Q15" s="261"/>
    </row>
    <row r="16" spans="2:17" ht="15" customHeight="1">
      <c r="B16" s="265"/>
      <c r="C16" s="265"/>
      <c r="D16" s="264"/>
      <c r="E16" s="598"/>
      <c r="F16" s="264"/>
      <c r="G16" s="264"/>
      <c r="H16" s="264"/>
      <c r="I16" s="264"/>
      <c r="J16" s="264"/>
      <c r="K16" s="266"/>
      <c r="L16" s="266"/>
      <c r="M16" s="266"/>
      <c r="N16" s="266"/>
      <c r="O16" s="264"/>
      <c r="P16" s="260"/>
      <c r="Q16" s="261"/>
    </row>
    <row r="17" spans="2:17">
      <c r="B17" s="929" t="s">
        <v>211</v>
      </c>
      <c r="C17" s="930"/>
      <c r="D17" s="267"/>
      <c r="E17" s="598"/>
      <c r="F17" s="264"/>
      <c r="G17" s="264"/>
      <c r="H17" s="264"/>
      <c r="I17" s="266"/>
      <c r="J17" s="266"/>
      <c r="K17" s="266"/>
      <c r="L17" s="266"/>
      <c r="M17" s="264"/>
      <c r="N17" s="268"/>
      <c r="O17" s="268"/>
    </row>
    <row r="18" spans="2:17">
      <c r="B18" s="244" t="s">
        <v>212</v>
      </c>
      <c r="C18" s="269">
        <v>3.6</v>
      </c>
      <c r="D18" s="264"/>
      <c r="E18" s="598"/>
      <c r="F18" s="264"/>
      <c r="G18" s="264"/>
      <c r="H18" s="264"/>
      <c r="I18" s="264"/>
      <c r="J18" s="264"/>
      <c r="K18" s="266"/>
      <c r="L18" s="264"/>
      <c r="M18" s="264"/>
      <c r="N18" s="264"/>
      <c r="O18" s="264"/>
    </row>
    <row r="19" spans="2:17">
      <c r="B19" s="244" t="s">
        <v>213</v>
      </c>
      <c r="C19" s="269">
        <v>0.27700000000000002</v>
      </c>
      <c r="D19" s="264"/>
      <c r="E19" s="598"/>
      <c r="F19" s="264"/>
      <c r="G19" s="264"/>
      <c r="H19" s="264"/>
      <c r="I19" s="264"/>
      <c r="J19" s="264"/>
      <c r="K19" s="266"/>
      <c r="L19" s="264"/>
      <c r="M19" s="264"/>
      <c r="N19" s="264"/>
      <c r="O19" s="264"/>
    </row>
    <row r="20" spans="2:17">
      <c r="O20" s="264"/>
      <c r="P20" s="264"/>
      <c r="Q20" s="264"/>
    </row>
    <row r="21" spans="2:17" ht="51">
      <c r="B21" s="925" t="s">
        <v>355</v>
      </c>
      <c r="C21" s="244">
        <v>2014</v>
      </c>
      <c r="D21" s="244" t="s">
        <v>336</v>
      </c>
      <c r="E21" s="582" t="s">
        <v>337</v>
      </c>
      <c r="F21" s="244" t="s">
        <v>317</v>
      </c>
      <c r="J21" s="263"/>
      <c r="K21" s="262"/>
      <c r="N21" s="264"/>
      <c r="O21" s="264"/>
      <c r="P21" s="264"/>
    </row>
    <row r="22" spans="2:17">
      <c r="B22" s="925"/>
      <c r="C22" s="248" t="s">
        <v>19</v>
      </c>
      <c r="D22" s="249">
        <f>H3+H6+H9+H12</f>
        <v>1010.9314252799999</v>
      </c>
      <c r="E22" s="249">
        <f t="shared" ref="E22:F24" si="9">I3+I6+I9+I12</f>
        <v>280.02800480255996</v>
      </c>
      <c r="F22" s="249">
        <f t="shared" si="9"/>
        <v>69.360005088460795</v>
      </c>
      <c r="J22" s="263"/>
      <c r="K22" s="262"/>
    </row>
    <row r="23" spans="2:17">
      <c r="B23" s="925"/>
      <c r="C23" s="248" t="s">
        <v>339</v>
      </c>
      <c r="D23" s="249">
        <f t="shared" ref="D23:D24" si="10">H4+H7+H10+H13</f>
        <v>2224.0528818479997</v>
      </c>
      <c r="E23" s="249">
        <f t="shared" si="9"/>
        <v>616.06264827189602</v>
      </c>
      <c r="F23" s="249">
        <f t="shared" si="9"/>
        <v>163.08979782591385</v>
      </c>
      <c r="J23" s="263"/>
      <c r="K23" s="262"/>
    </row>
    <row r="24" spans="2:17">
      <c r="B24" s="925"/>
      <c r="C24" s="248" t="s">
        <v>341</v>
      </c>
      <c r="D24" s="249">
        <f t="shared" si="10"/>
        <v>138.26525385599996</v>
      </c>
      <c r="E24" s="249">
        <f t="shared" si="9"/>
        <v>38.299475318111988</v>
      </c>
      <c r="F24" s="249">
        <f t="shared" si="9"/>
        <v>8.6332824507686396</v>
      </c>
      <c r="J24" s="263"/>
      <c r="K24" s="262"/>
    </row>
    <row r="25" spans="2:17">
      <c r="B25" s="927" t="s">
        <v>3</v>
      </c>
      <c r="C25" s="928"/>
      <c r="D25" s="258">
        <f>SUM(D22:D24)</f>
        <v>3373.2495609839998</v>
      </c>
      <c r="E25" s="258">
        <f t="shared" ref="E25:F25" si="11">SUM(E22:E24)</f>
        <v>934.39012839256793</v>
      </c>
      <c r="F25" s="258">
        <f t="shared" si="11"/>
        <v>241.08308536514326</v>
      </c>
      <c r="J25" s="263"/>
      <c r="K25" s="262"/>
    </row>
    <row r="27" spans="2:17" ht="38.25">
      <c r="B27" s="244" t="s">
        <v>118</v>
      </c>
      <c r="C27" s="244" t="s">
        <v>354</v>
      </c>
      <c r="D27" s="244" t="s">
        <v>353</v>
      </c>
      <c r="E27" s="582" t="s">
        <v>332</v>
      </c>
      <c r="F27" s="244" t="s">
        <v>335</v>
      </c>
      <c r="G27" s="244" t="s">
        <v>13</v>
      </c>
      <c r="H27" s="244" t="s">
        <v>336</v>
      </c>
      <c r="I27" s="244" t="s">
        <v>337</v>
      </c>
      <c r="J27" s="244" t="s">
        <v>317</v>
      </c>
    </row>
    <row r="28" spans="2:17">
      <c r="B28" s="931" t="s">
        <v>350</v>
      </c>
      <c r="C28" s="246" t="s">
        <v>19</v>
      </c>
      <c r="D28" s="247">
        <f>$M$3*11435</f>
        <v>3316.1499999999996</v>
      </c>
      <c r="E28" s="249">
        <f>Wskaźniki!$C$19</f>
        <v>0.72</v>
      </c>
      <c r="F28" s="248">
        <f>Wskaźniki!$C$17</f>
        <v>4.48E-2</v>
      </c>
      <c r="G28" s="248">
        <f>Wskaźniki!$C$18</f>
        <v>6.8610000000000004E-2</v>
      </c>
      <c r="H28" s="249">
        <f>D28*E28*F28</f>
        <v>106.96573439999999</v>
      </c>
      <c r="I28" s="249">
        <f>H28*$C$19</f>
        <v>29.629508428799998</v>
      </c>
      <c r="J28" s="249">
        <f>H28*G28</f>
        <v>7.3389190371839996</v>
      </c>
    </row>
    <row r="29" spans="2:17">
      <c r="B29" s="932"/>
      <c r="C29" s="246" t="s">
        <v>339</v>
      </c>
      <c r="D29" s="247">
        <f>$M$4*11435</f>
        <v>8004.4999999999991</v>
      </c>
      <c r="E29" s="249">
        <f>Wskaźniki!$C$19</f>
        <v>0.72</v>
      </c>
      <c r="F29" s="248">
        <f>Wskaźniki!$C$20</f>
        <v>4.333E-2</v>
      </c>
      <c r="G29" s="248">
        <f>Wskaźniki!$C$21</f>
        <v>7.3330000000000006E-2</v>
      </c>
      <c r="H29" s="249">
        <f t="shared" ref="H29:H39" si="12">D29*E29*F29</f>
        <v>249.72118919999994</v>
      </c>
      <c r="I29" s="249">
        <f t="shared" ref="I29:I39" si="13">H29*$C$19</f>
        <v>69.172769408399986</v>
      </c>
      <c r="J29" s="249">
        <f t="shared" ref="J29:J39" si="14">H29*G29</f>
        <v>18.312054804035999</v>
      </c>
    </row>
    <row r="30" spans="2:17">
      <c r="B30" s="933"/>
      <c r="C30" s="246" t="s">
        <v>341</v>
      </c>
      <c r="D30" s="247">
        <f>$M$5*11435</f>
        <v>114.35000000000001</v>
      </c>
      <c r="E30" s="249">
        <f>Wskaźniki!$C$19</f>
        <v>0.72</v>
      </c>
      <c r="F30" s="248">
        <f>Wskaźniki!$C$14</f>
        <v>4.7309999999999998E-2</v>
      </c>
      <c r="G30" s="248">
        <f>Wskaźniki!$C$15</f>
        <v>6.2440000000000002E-2</v>
      </c>
      <c r="H30" s="249">
        <f t="shared" si="12"/>
        <v>3.89512692</v>
      </c>
      <c r="I30" s="249">
        <f t="shared" si="13"/>
        <v>1.0789501568400002</v>
      </c>
      <c r="J30" s="249">
        <f t="shared" si="14"/>
        <v>0.2432117248848</v>
      </c>
    </row>
    <row r="31" spans="2:17">
      <c r="B31" s="931" t="s">
        <v>351</v>
      </c>
      <c r="C31" s="246" t="s">
        <v>19</v>
      </c>
      <c r="D31" s="247">
        <f>$M$3*40000</f>
        <v>11600</v>
      </c>
      <c r="E31" s="249">
        <f>Wskaźniki!$C$19</f>
        <v>0.72</v>
      </c>
      <c r="F31" s="248">
        <f>Wskaźniki!$C$17</f>
        <v>4.48E-2</v>
      </c>
      <c r="G31" s="248">
        <f>Wskaźniki!$C$18</f>
        <v>6.8610000000000004E-2</v>
      </c>
      <c r="H31" s="249">
        <f t="shared" si="12"/>
        <v>374.1696</v>
      </c>
      <c r="I31" s="249">
        <f t="shared" si="13"/>
        <v>103.64497920000001</v>
      </c>
      <c r="J31" s="249">
        <f t="shared" si="14"/>
        <v>25.671776256000001</v>
      </c>
    </row>
    <row r="32" spans="2:17">
      <c r="B32" s="932"/>
      <c r="C32" s="246" t="s">
        <v>339</v>
      </c>
      <c r="D32" s="247">
        <f>$M$4*40000</f>
        <v>28000</v>
      </c>
      <c r="E32" s="249">
        <f>Wskaźniki!$C$19</f>
        <v>0.72</v>
      </c>
      <c r="F32" s="248">
        <f>Wskaźniki!$C$20</f>
        <v>4.333E-2</v>
      </c>
      <c r="G32" s="248">
        <f>Wskaźniki!$C$21</f>
        <v>7.3330000000000006E-2</v>
      </c>
      <c r="H32" s="249">
        <f t="shared" si="12"/>
        <v>873.53280000000007</v>
      </c>
      <c r="I32" s="249">
        <f t="shared" si="13"/>
        <v>241.96858560000004</v>
      </c>
      <c r="J32" s="249">
        <f t="shared" si="14"/>
        <v>64.05616022400001</v>
      </c>
    </row>
    <row r="33" spans="2:10">
      <c r="B33" s="933"/>
      <c r="C33" s="246" t="s">
        <v>341</v>
      </c>
      <c r="D33" s="247">
        <f>$M$5*40000</f>
        <v>400</v>
      </c>
      <c r="E33" s="249">
        <f>Wskaźniki!$C$19</f>
        <v>0.72</v>
      </c>
      <c r="F33" s="248">
        <f>Wskaźniki!$C$14</f>
        <v>4.7309999999999998E-2</v>
      </c>
      <c r="G33" s="248">
        <f>Wskaźniki!$C$15</f>
        <v>6.2440000000000002E-2</v>
      </c>
      <c r="H33" s="249">
        <f t="shared" si="12"/>
        <v>13.62528</v>
      </c>
      <c r="I33" s="249">
        <f t="shared" si="13"/>
        <v>3.7742025600000004</v>
      </c>
      <c r="J33" s="249">
        <f t="shared" si="14"/>
        <v>0.85076248320000003</v>
      </c>
    </row>
    <row r="34" spans="2:10">
      <c r="B34" s="934" t="s">
        <v>388</v>
      </c>
      <c r="C34" s="255" t="s">
        <v>19</v>
      </c>
      <c r="D34" s="247">
        <f>$M$3*10637</f>
        <v>3084.7299999999996</v>
      </c>
      <c r="E34" s="249">
        <f>Wskaźniki!$C$19</f>
        <v>0.72</v>
      </c>
      <c r="F34" s="248">
        <f>Wskaźniki!$C$17</f>
        <v>4.48E-2</v>
      </c>
      <c r="G34" s="248">
        <f>Wskaźniki!$C$18</f>
        <v>6.8610000000000004E-2</v>
      </c>
      <c r="H34" s="249">
        <f t="shared" si="12"/>
        <v>99.50105087999998</v>
      </c>
      <c r="I34" s="249">
        <f t="shared" si="13"/>
        <v>27.561791093759997</v>
      </c>
      <c r="J34" s="249">
        <f t="shared" si="14"/>
        <v>6.8267671008767987</v>
      </c>
    </row>
    <row r="35" spans="2:10">
      <c r="B35" s="935"/>
      <c r="C35" s="255" t="s">
        <v>339</v>
      </c>
      <c r="D35" s="247">
        <f t="shared" ref="D35:D36" si="15">$M$3*10637</f>
        <v>3084.7299999999996</v>
      </c>
      <c r="E35" s="249">
        <f>Wskaźniki!$C$19</f>
        <v>0.72</v>
      </c>
      <c r="F35" s="248">
        <f>Wskaźniki!$C$20</f>
        <v>4.333E-2</v>
      </c>
      <c r="G35" s="248">
        <f>Wskaźniki!$C$21</f>
        <v>7.3330000000000006E-2</v>
      </c>
      <c r="H35" s="249">
        <f t="shared" si="12"/>
        <v>96.236172647999979</v>
      </c>
      <c r="I35" s="249">
        <f t="shared" si="13"/>
        <v>26.657419823495996</v>
      </c>
      <c r="J35" s="249">
        <f t="shared" si="14"/>
        <v>7.0569985402778395</v>
      </c>
    </row>
    <row r="36" spans="2:10">
      <c r="B36" s="936"/>
      <c r="C36" s="255" t="s">
        <v>341</v>
      </c>
      <c r="D36" s="247">
        <f t="shared" si="15"/>
        <v>3084.7299999999996</v>
      </c>
      <c r="E36" s="249">
        <f>Wskaźniki!$C$19</f>
        <v>0.72</v>
      </c>
      <c r="F36" s="248">
        <v>4.7309999999999998E-2</v>
      </c>
      <c r="G36" s="248">
        <v>6.2440000000000002E-2</v>
      </c>
      <c r="H36" s="249">
        <f t="shared" si="12"/>
        <v>105.07577493599997</v>
      </c>
      <c r="I36" s="249">
        <f t="shared" si="13"/>
        <v>29.105989657271994</v>
      </c>
      <c r="J36" s="249">
        <f t="shared" si="14"/>
        <v>6.5609313870038388</v>
      </c>
    </row>
    <row r="37" spans="2:10">
      <c r="B37" s="934" t="s">
        <v>352</v>
      </c>
      <c r="C37" s="246" t="s">
        <v>19</v>
      </c>
      <c r="D37" s="247">
        <f>$M$3*46000</f>
        <v>13339.999999999998</v>
      </c>
      <c r="E37" s="249">
        <f>Wskaźniki!$C$19</f>
        <v>0.72</v>
      </c>
      <c r="F37" s="248">
        <f>Wskaźniki!$C$17</f>
        <v>4.48E-2</v>
      </c>
      <c r="G37" s="248">
        <f>Wskaźniki!$C$18</f>
        <v>6.8610000000000004E-2</v>
      </c>
      <c r="H37" s="249">
        <f t="shared" si="12"/>
        <v>430.29503999999986</v>
      </c>
      <c r="I37" s="249">
        <f t="shared" si="13"/>
        <v>119.19172607999997</v>
      </c>
      <c r="J37" s="249">
        <f t="shared" si="14"/>
        <v>29.522542694399991</v>
      </c>
    </row>
    <row r="38" spans="2:10">
      <c r="B38" s="935"/>
      <c r="C38" s="246" t="s">
        <v>339</v>
      </c>
      <c r="D38" s="247">
        <f>$M$4*46000</f>
        <v>32199.999999999996</v>
      </c>
      <c r="E38" s="249">
        <f>Wskaźniki!$C$19</f>
        <v>0.72</v>
      </c>
      <c r="F38" s="248">
        <f>Wskaźniki!$C$20</f>
        <v>4.333E-2</v>
      </c>
      <c r="G38" s="248">
        <f>Wskaźniki!$C$21</f>
        <v>7.3330000000000006E-2</v>
      </c>
      <c r="H38" s="249">
        <f t="shared" si="12"/>
        <v>1004.5627199999999</v>
      </c>
      <c r="I38" s="249">
        <f t="shared" si="13"/>
        <v>278.26387344</v>
      </c>
      <c r="J38" s="249">
        <f t="shared" si="14"/>
        <v>73.664584257599998</v>
      </c>
    </row>
    <row r="39" spans="2:10">
      <c r="B39" s="936"/>
      <c r="C39" s="246" t="s">
        <v>341</v>
      </c>
      <c r="D39" s="247">
        <f>$M$5*46000</f>
        <v>460</v>
      </c>
      <c r="E39" s="249">
        <f>Wskaźniki!$C$19</f>
        <v>0.72</v>
      </c>
      <c r="F39" s="248">
        <f>Wskaźniki!$C$14</f>
        <v>4.7309999999999998E-2</v>
      </c>
      <c r="G39" s="248">
        <f>Wskaźniki!$C$15</f>
        <v>6.2440000000000002E-2</v>
      </c>
      <c r="H39" s="249">
        <f t="shared" si="12"/>
        <v>15.669071999999998</v>
      </c>
      <c r="I39" s="249">
        <f t="shared" si="13"/>
        <v>4.340332944</v>
      </c>
      <c r="J39" s="249">
        <f t="shared" si="14"/>
        <v>0.97837685567999988</v>
      </c>
    </row>
    <row r="40" spans="2:10">
      <c r="B40" s="927" t="s">
        <v>3</v>
      </c>
      <c r="C40" s="928"/>
      <c r="D40" s="256">
        <f>SUM(D28:D39)</f>
        <v>106689.18999999999</v>
      </c>
      <c r="E40" s="597"/>
      <c r="F40" s="257"/>
      <c r="G40" s="257"/>
      <c r="H40" s="258">
        <f>SUM(H28:H39)</f>
        <v>3373.2495609839998</v>
      </c>
      <c r="I40" s="258">
        <f t="shared" ref="I40" si="16">SUM(I28:I39)</f>
        <v>934.39012839256793</v>
      </c>
      <c r="J40" s="258">
        <f t="shared" ref="J40" si="17">SUM(J28:J39)</f>
        <v>241.08308536514326</v>
      </c>
    </row>
    <row r="41" spans="2:10">
      <c r="B41" s="265"/>
      <c r="C41" s="265"/>
      <c r="D41" s="264"/>
      <c r="E41" s="598"/>
      <c r="F41" s="264"/>
      <c r="G41" s="264"/>
      <c r="H41" s="264"/>
      <c r="I41" s="264"/>
      <c r="J41" s="264"/>
    </row>
    <row r="42" spans="2:10">
      <c r="B42" s="929" t="s">
        <v>211</v>
      </c>
      <c r="C42" s="930"/>
      <c r="D42" s="267"/>
      <c r="E42" s="598"/>
      <c r="F42" s="264"/>
      <c r="G42" s="264"/>
      <c r="H42" s="264"/>
      <c r="I42" s="266"/>
      <c r="J42" s="266"/>
    </row>
    <row r="43" spans="2:10">
      <c r="B43" s="244" t="s">
        <v>212</v>
      </c>
      <c r="C43" s="269">
        <v>3.6</v>
      </c>
      <c r="D43" s="264"/>
      <c r="E43" s="598"/>
      <c r="F43" s="264"/>
      <c r="G43" s="264"/>
      <c r="H43" s="264"/>
      <c r="I43" s="264"/>
      <c r="J43" s="264"/>
    </row>
    <row r="44" spans="2:10">
      <c r="B44" s="244" t="s">
        <v>213</v>
      </c>
      <c r="C44" s="269">
        <v>0.27700000000000002</v>
      </c>
      <c r="D44" s="264"/>
      <c r="E44" s="598"/>
      <c r="F44" s="264"/>
      <c r="G44" s="264"/>
      <c r="H44" s="264"/>
      <c r="I44" s="264"/>
      <c r="J44" s="264"/>
    </row>
    <row r="46" spans="2:10" ht="51">
      <c r="B46" s="925" t="s">
        <v>355</v>
      </c>
      <c r="C46" s="244" t="s">
        <v>118</v>
      </c>
      <c r="D46" s="244" t="s">
        <v>336</v>
      </c>
      <c r="E46" s="582" t="s">
        <v>337</v>
      </c>
      <c r="F46" s="244" t="s">
        <v>317</v>
      </c>
      <c r="J46" s="263"/>
    </row>
    <row r="47" spans="2:10">
      <c r="B47" s="925"/>
      <c r="C47" s="248" t="s">
        <v>19</v>
      </c>
      <c r="D47" s="249">
        <f>H28+H31+H34+H37</f>
        <v>1010.9314252799999</v>
      </c>
      <c r="E47" s="249">
        <f t="shared" ref="E47:F49" si="18">I28+I31+I34+I37</f>
        <v>280.02800480255996</v>
      </c>
      <c r="F47" s="249">
        <f t="shared" si="18"/>
        <v>69.360005088460795</v>
      </c>
      <c r="J47" s="263"/>
    </row>
    <row r="48" spans="2:10">
      <c r="B48" s="925"/>
      <c r="C48" s="248" t="s">
        <v>339</v>
      </c>
      <c r="D48" s="249">
        <f t="shared" ref="D48:D49" si="19">H29+H32+H35+H38</f>
        <v>2224.0528818479997</v>
      </c>
      <c r="E48" s="249">
        <f t="shared" si="18"/>
        <v>616.06264827189602</v>
      </c>
      <c r="F48" s="249">
        <f t="shared" si="18"/>
        <v>163.08979782591385</v>
      </c>
      <c r="J48" s="263"/>
    </row>
    <row r="49" spans="2:10">
      <c r="B49" s="925"/>
      <c r="C49" s="248" t="s">
        <v>341</v>
      </c>
      <c r="D49" s="249">
        <f t="shared" si="19"/>
        <v>138.26525385599996</v>
      </c>
      <c r="E49" s="249">
        <f t="shared" si="18"/>
        <v>38.299475318111988</v>
      </c>
      <c r="F49" s="249">
        <f t="shared" si="18"/>
        <v>8.6332824507686396</v>
      </c>
      <c r="J49" s="263"/>
    </row>
    <row r="50" spans="2:10">
      <c r="B50" s="927" t="s">
        <v>3</v>
      </c>
      <c r="C50" s="928"/>
      <c r="D50" s="258">
        <f>SUM(D47:D49)</f>
        <v>3373.2495609839998</v>
      </c>
      <c r="E50" s="258">
        <f t="shared" ref="E50" si="20">SUM(E47:E49)</f>
        <v>934.39012839256793</v>
      </c>
      <c r="F50" s="258">
        <f t="shared" ref="F50" si="21">SUM(F47:F49)</f>
        <v>241.08308536514326</v>
      </c>
      <c r="J50" s="263"/>
    </row>
  </sheetData>
  <mergeCells count="17">
    <mergeCell ref="B50:C50"/>
    <mergeCell ref="B17:C17"/>
    <mergeCell ref="B21:B24"/>
    <mergeCell ref="B25:C25"/>
    <mergeCell ref="B28:B30"/>
    <mergeCell ref="B34:B36"/>
    <mergeCell ref="B31:B33"/>
    <mergeCell ref="B37:B39"/>
    <mergeCell ref="B40:C40"/>
    <mergeCell ref="B42:C42"/>
    <mergeCell ref="B46:B49"/>
    <mergeCell ref="L2:M2"/>
    <mergeCell ref="B3:B5"/>
    <mergeCell ref="B6:B8"/>
    <mergeCell ref="B12:B14"/>
    <mergeCell ref="B15:C15"/>
    <mergeCell ref="B9:B1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Q50"/>
  <sheetViews>
    <sheetView showGridLines="0" topLeftCell="A7" workbookViewId="0">
      <selection activeCell="C5" sqref="C5"/>
    </sheetView>
  </sheetViews>
  <sheetFormatPr defaultRowHeight="12.75"/>
  <cols>
    <col min="1" max="1" width="5" style="262" customWidth="1"/>
    <col min="2" max="2" width="24.625" style="270" customWidth="1"/>
    <col min="3" max="3" width="12.625" style="270" customWidth="1"/>
    <col min="4" max="4" width="12.125" style="262" customWidth="1"/>
    <col min="5" max="5" width="9.125" style="599" customWidth="1"/>
    <col min="6" max="7" width="9" style="262"/>
    <col min="8" max="10" width="10" style="262" bestFit="1" customWidth="1"/>
    <col min="11" max="11" width="4.625" style="263" customWidth="1"/>
    <col min="12" max="12" width="14.125" style="262" customWidth="1"/>
    <col min="13" max="16384" width="9" style="262"/>
  </cols>
  <sheetData>
    <row r="2" spans="2:17" ht="45.75" customHeight="1">
      <c r="B2" s="677">
        <v>2014</v>
      </c>
      <c r="C2" s="677" t="s">
        <v>354</v>
      </c>
      <c r="D2" s="677" t="s">
        <v>353</v>
      </c>
      <c r="E2" s="677" t="s">
        <v>332</v>
      </c>
      <c r="F2" s="677" t="s">
        <v>335</v>
      </c>
      <c r="G2" s="677" t="s">
        <v>13</v>
      </c>
      <c r="H2" s="677" t="s">
        <v>336</v>
      </c>
      <c r="I2" s="677" t="s">
        <v>337</v>
      </c>
      <c r="J2" s="677" t="s">
        <v>317</v>
      </c>
      <c r="K2" s="245"/>
      <c r="L2" s="925" t="s">
        <v>45</v>
      </c>
      <c r="M2" s="925"/>
    </row>
    <row r="3" spans="2:17" ht="16.5" customHeight="1">
      <c r="B3" s="926" t="s">
        <v>350</v>
      </c>
      <c r="C3" s="677" t="s">
        <v>19</v>
      </c>
      <c r="D3" s="592">
        <f>$M$3*11435</f>
        <v>3316.1499999999996</v>
      </c>
      <c r="E3" s="594">
        <f>Wskaźniki!$C$19</f>
        <v>0.72</v>
      </c>
      <c r="F3" s="593">
        <f>Wskaźniki!$C$17</f>
        <v>4.48E-2</v>
      </c>
      <c r="G3" s="593">
        <f>Wskaźniki!$C$18</f>
        <v>6.8610000000000004E-2</v>
      </c>
      <c r="H3" s="594">
        <f>D3*E3*F3</f>
        <v>106.96573439999999</v>
      </c>
      <c r="I3" s="594">
        <f t="shared" ref="I3:I14" si="0">H3*$C$19</f>
        <v>29.629508428799998</v>
      </c>
      <c r="J3" s="594">
        <f>H3*G3</f>
        <v>7.3389190371839996</v>
      </c>
      <c r="K3" s="250"/>
      <c r="L3" s="251" t="s">
        <v>338</v>
      </c>
      <c r="M3" s="252">
        <v>0.28999999999999998</v>
      </c>
    </row>
    <row r="4" spans="2:17" ht="16.5" customHeight="1">
      <c r="B4" s="926"/>
      <c r="C4" s="677" t="s">
        <v>339</v>
      </c>
      <c r="D4" s="592">
        <f>$M$4*11435</f>
        <v>8004.4999999999991</v>
      </c>
      <c r="E4" s="594">
        <f>Wskaźniki!$C$19</f>
        <v>0.72</v>
      </c>
      <c r="F4" s="593">
        <f>Wskaźniki!$C$20</f>
        <v>4.333E-2</v>
      </c>
      <c r="G4" s="593">
        <f>Wskaźniki!$C$21</f>
        <v>7.3330000000000006E-2</v>
      </c>
      <c r="H4" s="594">
        <f t="shared" ref="H4:H14" si="1">D4*E4*F4</f>
        <v>249.72118919999994</v>
      </c>
      <c r="I4" s="594">
        <f t="shared" si="0"/>
        <v>69.172769408399986</v>
      </c>
      <c r="J4" s="594">
        <f t="shared" ref="J4:J14" si="2">H4*G4</f>
        <v>18.312054804035999</v>
      </c>
      <c r="K4" s="250"/>
      <c r="L4" s="251" t="s">
        <v>340</v>
      </c>
      <c r="M4" s="252">
        <v>0.7</v>
      </c>
    </row>
    <row r="5" spans="2:17" ht="16.5" customHeight="1">
      <c r="B5" s="926"/>
      <c r="C5" s="677" t="s">
        <v>341</v>
      </c>
      <c r="D5" s="592">
        <f>$M$5*11435</f>
        <v>114.35000000000001</v>
      </c>
      <c r="E5" s="594">
        <f>Wskaźniki!$C$19</f>
        <v>0.72</v>
      </c>
      <c r="F5" s="593">
        <f>Wskaźniki!$C$14</f>
        <v>4.7309999999999998E-2</v>
      </c>
      <c r="G5" s="593">
        <f>Wskaźniki!$C$15</f>
        <v>6.2440000000000002E-2</v>
      </c>
      <c r="H5" s="594">
        <f t="shared" si="1"/>
        <v>3.89512692</v>
      </c>
      <c r="I5" s="594">
        <f t="shared" si="0"/>
        <v>1.0789501568400002</v>
      </c>
      <c r="J5" s="594">
        <f t="shared" si="2"/>
        <v>0.2432117248848</v>
      </c>
      <c r="K5" s="250"/>
      <c r="L5" s="251" t="s">
        <v>342</v>
      </c>
      <c r="M5" s="252">
        <v>0.01</v>
      </c>
    </row>
    <row r="6" spans="2:17" ht="16.5" customHeight="1">
      <c r="B6" s="926" t="s">
        <v>351</v>
      </c>
      <c r="C6" s="677" t="s">
        <v>19</v>
      </c>
      <c r="D6" s="592">
        <f>$M$3*40000</f>
        <v>11600</v>
      </c>
      <c r="E6" s="594">
        <f>Wskaźniki!$C$19</f>
        <v>0.72</v>
      </c>
      <c r="F6" s="593">
        <f>Wskaźniki!$C$17</f>
        <v>4.48E-2</v>
      </c>
      <c r="G6" s="593">
        <f>Wskaźniki!$C$18</f>
        <v>6.8610000000000004E-2</v>
      </c>
      <c r="H6" s="594">
        <f t="shared" si="1"/>
        <v>374.1696</v>
      </c>
      <c r="I6" s="594">
        <f t="shared" si="0"/>
        <v>103.64497920000001</v>
      </c>
      <c r="J6" s="594">
        <f t="shared" si="2"/>
        <v>25.671776256000001</v>
      </c>
      <c r="K6" s="250"/>
      <c r="L6" s="253"/>
      <c r="M6" s="254"/>
      <c r="N6" s="263"/>
    </row>
    <row r="7" spans="2:17" ht="16.5" customHeight="1">
      <c r="B7" s="926"/>
      <c r="C7" s="677" t="s">
        <v>339</v>
      </c>
      <c r="D7" s="592">
        <f>$M$4*40000</f>
        <v>28000</v>
      </c>
      <c r="E7" s="594">
        <f>Wskaźniki!$C$19</f>
        <v>0.72</v>
      </c>
      <c r="F7" s="593">
        <f>Wskaźniki!$C$20</f>
        <v>4.333E-2</v>
      </c>
      <c r="G7" s="593">
        <f>Wskaźniki!$C$21</f>
        <v>7.3330000000000006E-2</v>
      </c>
      <c r="H7" s="594">
        <f t="shared" si="1"/>
        <v>873.53280000000007</v>
      </c>
      <c r="I7" s="594">
        <f t="shared" si="0"/>
        <v>241.96858560000004</v>
      </c>
      <c r="J7" s="594">
        <f t="shared" si="2"/>
        <v>64.05616022400001</v>
      </c>
      <c r="K7" s="250"/>
      <c r="L7" s="253"/>
      <c r="M7" s="254"/>
      <c r="N7" s="263"/>
    </row>
    <row r="8" spans="2:17" ht="16.5" customHeight="1">
      <c r="B8" s="926"/>
      <c r="C8" s="677" t="s">
        <v>341</v>
      </c>
      <c r="D8" s="592">
        <f>$M$5*40000</f>
        <v>400</v>
      </c>
      <c r="E8" s="594">
        <f>Wskaźniki!$C$19</f>
        <v>0.72</v>
      </c>
      <c r="F8" s="593">
        <f>Wskaźniki!$C$14</f>
        <v>4.7309999999999998E-2</v>
      </c>
      <c r="G8" s="593">
        <f>Wskaźniki!$C$15</f>
        <v>6.2440000000000002E-2</v>
      </c>
      <c r="H8" s="594">
        <f t="shared" si="1"/>
        <v>13.62528</v>
      </c>
      <c r="I8" s="594">
        <f t="shared" si="0"/>
        <v>3.7742025600000004</v>
      </c>
      <c r="J8" s="594">
        <f t="shared" si="2"/>
        <v>0.85076248320000003</v>
      </c>
      <c r="K8" s="250"/>
      <c r="L8" s="253"/>
      <c r="M8" s="254"/>
      <c r="N8" s="263"/>
    </row>
    <row r="9" spans="2:17" ht="16.5" customHeight="1">
      <c r="B9" s="926" t="s">
        <v>388</v>
      </c>
      <c r="C9" s="677" t="s">
        <v>19</v>
      </c>
      <c r="D9" s="592">
        <f>$M$3*10637</f>
        <v>3084.7299999999996</v>
      </c>
      <c r="E9" s="594">
        <f>Wskaźniki!$C$19</f>
        <v>0.72</v>
      </c>
      <c r="F9" s="593">
        <f>Wskaźniki!$C$17</f>
        <v>4.48E-2</v>
      </c>
      <c r="G9" s="593">
        <f>Wskaźniki!$C$18</f>
        <v>6.8610000000000004E-2</v>
      </c>
      <c r="H9" s="594">
        <f t="shared" si="1"/>
        <v>99.50105087999998</v>
      </c>
      <c r="I9" s="594">
        <f t="shared" si="0"/>
        <v>27.561791093759997</v>
      </c>
      <c r="J9" s="594">
        <f t="shared" si="2"/>
        <v>6.8267671008767987</v>
      </c>
      <c r="K9" s="250"/>
      <c r="L9" s="253"/>
      <c r="M9" s="254"/>
      <c r="N9" s="263"/>
    </row>
    <row r="10" spans="2:17" ht="16.5" customHeight="1">
      <c r="B10" s="926"/>
      <c r="C10" s="677" t="s">
        <v>339</v>
      </c>
      <c r="D10" s="592">
        <f t="shared" ref="D10:D11" si="3">$M$3*10637</f>
        <v>3084.7299999999996</v>
      </c>
      <c r="E10" s="594">
        <f>Wskaźniki!$C$19</f>
        <v>0.72</v>
      </c>
      <c r="F10" s="593">
        <f>Wskaźniki!$C$20</f>
        <v>4.333E-2</v>
      </c>
      <c r="G10" s="593">
        <f>Wskaźniki!$C$21</f>
        <v>7.3330000000000006E-2</v>
      </c>
      <c r="H10" s="594">
        <f t="shared" si="1"/>
        <v>96.236172647999979</v>
      </c>
      <c r="I10" s="594">
        <f t="shared" si="0"/>
        <v>26.657419823495996</v>
      </c>
      <c r="J10" s="594">
        <f t="shared" si="2"/>
        <v>7.0569985402778395</v>
      </c>
      <c r="K10" s="250"/>
      <c r="L10" s="253"/>
      <c r="M10" s="254"/>
      <c r="N10" s="263"/>
    </row>
    <row r="11" spans="2:17" ht="16.5" customHeight="1">
      <c r="B11" s="926"/>
      <c r="C11" s="677" t="s">
        <v>341</v>
      </c>
      <c r="D11" s="592">
        <f t="shared" si="3"/>
        <v>3084.7299999999996</v>
      </c>
      <c r="E11" s="594">
        <f>Wskaźniki!$C$19</f>
        <v>0.72</v>
      </c>
      <c r="F11" s="593">
        <v>4.7309999999999998E-2</v>
      </c>
      <c r="G11" s="593">
        <v>6.2440000000000002E-2</v>
      </c>
      <c r="H11" s="594">
        <f t="shared" si="1"/>
        <v>105.07577493599997</v>
      </c>
      <c r="I11" s="594">
        <f t="shared" si="0"/>
        <v>29.105989657271994</v>
      </c>
      <c r="J11" s="594">
        <f t="shared" si="2"/>
        <v>6.5609313870038388</v>
      </c>
      <c r="K11" s="250"/>
      <c r="L11" s="253"/>
      <c r="M11" s="254"/>
      <c r="N11" s="263"/>
    </row>
    <row r="12" spans="2:17" ht="16.5" customHeight="1">
      <c r="B12" s="926" t="s">
        <v>352</v>
      </c>
      <c r="C12" s="677" t="s">
        <v>19</v>
      </c>
      <c r="D12" s="592">
        <f>$M$3*46000</f>
        <v>13339.999999999998</v>
      </c>
      <c r="E12" s="594">
        <f>Wskaźniki!$C$19</f>
        <v>0.72</v>
      </c>
      <c r="F12" s="593">
        <f>Wskaźniki!$C$17</f>
        <v>4.48E-2</v>
      </c>
      <c r="G12" s="593">
        <f>Wskaźniki!$C$18</f>
        <v>6.8610000000000004E-2</v>
      </c>
      <c r="H12" s="594">
        <f t="shared" si="1"/>
        <v>430.29503999999986</v>
      </c>
      <c r="I12" s="594">
        <f t="shared" si="0"/>
        <v>119.19172607999997</v>
      </c>
      <c r="J12" s="594">
        <f t="shared" si="2"/>
        <v>29.522542694399991</v>
      </c>
      <c r="K12" s="250"/>
      <c r="L12" s="253"/>
      <c r="M12" s="254"/>
      <c r="N12" s="263"/>
    </row>
    <row r="13" spans="2:17" ht="16.5" customHeight="1">
      <c r="B13" s="926"/>
      <c r="C13" s="677" t="s">
        <v>339</v>
      </c>
      <c r="D13" s="592">
        <f>$M$4*46000</f>
        <v>32199.999999999996</v>
      </c>
      <c r="E13" s="594">
        <f>Wskaźniki!$C$19</f>
        <v>0.72</v>
      </c>
      <c r="F13" s="593">
        <f>Wskaźniki!$C$20</f>
        <v>4.333E-2</v>
      </c>
      <c r="G13" s="593">
        <f>Wskaźniki!$C$21</f>
        <v>7.3330000000000006E-2</v>
      </c>
      <c r="H13" s="594">
        <f t="shared" si="1"/>
        <v>1004.5627199999999</v>
      </c>
      <c r="I13" s="594">
        <f t="shared" si="0"/>
        <v>278.26387344</v>
      </c>
      <c r="J13" s="594">
        <f t="shared" si="2"/>
        <v>73.664584257599998</v>
      </c>
      <c r="K13" s="250"/>
      <c r="L13" s="253"/>
      <c r="M13" s="254"/>
      <c r="N13" s="263"/>
    </row>
    <row r="14" spans="2:17" ht="16.5" customHeight="1">
      <c r="B14" s="926"/>
      <c r="C14" s="677" t="s">
        <v>341</v>
      </c>
      <c r="D14" s="592">
        <f>$M$5*46000</f>
        <v>460</v>
      </c>
      <c r="E14" s="594">
        <f>Wskaźniki!$C$19</f>
        <v>0.72</v>
      </c>
      <c r="F14" s="593">
        <v>4.7309999999999998E-2</v>
      </c>
      <c r="G14" s="593">
        <v>6.2440000000000002E-2</v>
      </c>
      <c r="H14" s="594">
        <f t="shared" si="1"/>
        <v>15.669071999999998</v>
      </c>
      <c r="I14" s="594">
        <f t="shared" si="0"/>
        <v>4.340332944</v>
      </c>
      <c r="J14" s="594">
        <f t="shared" si="2"/>
        <v>0.97837685567999988</v>
      </c>
      <c r="K14" s="250"/>
      <c r="L14" s="253"/>
      <c r="M14" s="254"/>
      <c r="N14" s="263"/>
    </row>
    <row r="15" spans="2:17" ht="16.5" customHeight="1">
      <c r="B15" s="926" t="s">
        <v>3</v>
      </c>
      <c r="C15" s="926"/>
      <c r="D15" s="595">
        <f>SUM(D3:D14)</f>
        <v>106689.18999999999</v>
      </c>
      <c r="E15" s="597"/>
      <c r="F15" s="257"/>
      <c r="G15" s="257"/>
      <c r="H15" s="596">
        <f>SUM(H3:H14)</f>
        <v>3373.2495609839998</v>
      </c>
      <c r="I15" s="596">
        <f t="shared" ref="I15:J15" si="4">SUM(I3:I14)</f>
        <v>934.39012839256793</v>
      </c>
      <c r="J15" s="596">
        <f t="shared" si="4"/>
        <v>241.08308536514326</v>
      </c>
      <c r="K15" s="245"/>
      <c r="L15" s="259"/>
      <c r="M15" s="259"/>
      <c r="N15" s="259"/>
      <c r="O15" s="264"/>
      <c r="P15" s="260"/>
      <c r="Q15" s="261"/>
    </row>
    <row r="16" spans="2:17" ht="15" customHeight="1">
      <c r="B16" s="265"/>
      <c r="C16" s="265"/>
      <c r="D16" s="264"/>
      <c r="E16" s="598"/>
      <c r="F16" s="264"/>
      <c r="G16" s="264"/>
      <c r="H16" s="264"/>
      <c r="I16" s="264"/>
      <c r="J16" s="264"/>
      <c r="K16" s="266"/>
      <c r="L16" s="266"/>
      <c r="M16" s="266"/>
      <c r="N16" s="266"/>
      <c r="O16" s="264"/>
      <c r="P16" s="260"/>
      <c r="Q16" s="261"/>
    </row>
    <row r="17" spans="2:17">
      <c r="B17" s="929" t="s">
        <v>211</v>
      </c>
      <c r="C17" s="930"/>
      <c r="D17" s="267"/>
      <c r="E17" s="598"/>
      <c r="F17" s="264"/>
      <c r="G17" s="264"/>
      <c r="H17" s="264"/>
      <c r="I17" s="266"/>
      <c r="J17" s="266"/>
      <c r="K17" s="266"/>
      <c r="L17" s="266"/>
      <c r="M17" s="264"/>
      <c r="N17" s="268"/>
      <c r="O17" s="268"/>
    </row>
    <row r="18" spans="2:17">
      <c r="B18" s="675" t="s">
        <v>212</v>
      </c>
      <c r="C18" s="269">
        <v>3.6</v>
      </c>
      <c r="D18" s="264"/>
      <c r="E18" s="598"/>
      <c r="F18" s="264"/>
      <c r="G18" s="264"/>
      <c r="H18" s="264"/>
      <c r="I18" s="264"/>
      <c r="J18" s="264"/>
      <c r="K18" s="266"/>
      <c r="L18" s="264"/>
      <c r="M18" s="264"/>
      <c r="N18" s="264"/>
      <c r="O18" s="264"/>
    </row>
    <row r="19" spans="2:17">
      <c r="B19" s="675" t="s">
        <v>213</v>
      </c>
      <c r="C19" s="269">
        <v>0.27700000000000002</v>
      </c>
      <c r="D19" s="264"/>
      <c r="E19" s="598"/>
      <c r="F19" s="264"/>
      <c r="G19" s="264"/>
      <c r="H19" s="264"/>
      <c r="I19" s="264"/>
      <c r="J19" s="264"/>
      <c r="K19" s="266"/>
      <c r="L19" s="264"/>
      <c r="M19" s="264"/>
      <c r="N19" s="264"/>
      <c r="O19" s="264"/>
    </row>
    <row r="20" spans="2:17">
      <c r="O20" s="264"/>
      <c r="P20" s="264"/>
      <c r="Q20" s="264"/>
    </row>
    <row r="21" spans="2:17" ht="51">
      <c r="B21" s="925" t="s">
        <v>355</v>
      </c>
      <c r="C21" s="675">
        <v>2014</v>
      </c>
      <c r="D21" s="675" t="s">
        <v>336</v>
      </c>
      <c r="E21" s="675" t="s">
        <v>337</v>
      </c>
      <c r="F21" s="675" t="s">
        <v>317</v>
      </c>
      <c r="J21" s="263"/>
      <c r="K21" s="262"/>
      <c r="N21" s="264"/>
      <c r="O21" s="264"/>
      <c r="P21" s="264"/>
    </row>
    <row r="22" spans="2:17">
      <c r="B22" s="925"/>
      <c r="C22" s="248" t="s">
        <v>19</v>
      </c>
      <c r="D22" s="249">
        <f>H3+H6+H9+H12</f>
        <v>1010.9314252799999</v>
      </c>
      <c r="E22" s="249">
        <f t="shared" ref="E22:F24" si="5">I3+I6+I9+I12</f>
        <v>280.02800480255996</v>
      </c>
      <c r="F22" s="249">
        <f t="shared" si="5"/>
        <v>69.360005088460795</v>
      </c>
      <c r="J22" s="263"/>
      <c r="K22" s="262"/>
    </row>
    <row r="23" spans="2:17">
      <c r="B23" s="925"/>
      <c r="C23" s="248" t="s">
        <v>339</v>
      </c>
      <c r="D23" s="249">
        <f t="shared" ref="D23:D24" si="6">H4+H7+H10+H13</f>
        <v>2224.0528818479997</v>
      </c>
      <c r="E23" s="249">
        <f t="shared" si="5"/>
        <v>616.06264827189602</v>
      </c>
      <c r="F23" s="249">
        <f t="shared" si="5"/>
        <v>163.08979782591385</v>
      </c>
      <c r="J23" s="263"/>
      <c r="K23" s="262"/>
    </row>
    <row r="24" spans="2:17">
      <c r="B24" s="925"/>
      <c r="C24" s="248" t="s">
        <v>341</v>
      </c>
      <c r="D24" s="249">
        <f t="shared" si="6"/>
        <v>138.26525385599996</v>
      </c>
      <c r="E24" s="249">
        <f t="shared" si="5"/>
        <v>38.299475318111988</v>
      </c>
      <c r="F24" s="249">
        <f t="shared" si="5"/>
        <v>8.6332824507686396</v>
      </c>
      <c r="J24" s="263"/>
      <c r="K24" s="262"/>
    </row>
    <row r="25" spans="2:17">
      <c r="B25" s="927" t="s">
        <v>3</v>
      </c>
      <c r="C25" s="928"/>
      <c r="D25" s="258">
        <f>SUM(D22:D24)</f>
        <v>3373.2495609839998</v>
      </c>
      <c r="E25" s="258">
        <f t="shared" ref="E25:F25" si="7">SUM(E22:E24)</f>
        <v>934.39012839256793</v>
      </c>
      <c r="F25" s="258">
        <f t="shared" si="7"/>
        <v>241.08308536514326</v>
      </c>
      <c r="J25" s="263"/>
      <c r="K25" s="262"/>
    </row>
    <row r="27" spans="2:17" ht="38.25">
      <c r="B27" s="675" t="s">
        <v>598</v>
      </c>
      <c r="C27" s="675" t="s">
        <v>354</v>
      </c>
      <c r="D27" s="675" t="s">
        <v>353</v>
      </c>
      <c r="E27" s="675" t="s">
        <v>332</v>
      </c>
      <c r="F27" s="675" t="s">
        <v>335</v>
      </c>
      <c r="G27" s="675" t="s">
        <v>13</v>
      </c>
      <c r="H27" s="675" t="s">
        <v>336</v>
      </c>
      <c r="I27" s="675" t="s">
        <v>337</v>
      </c>
      <c r="J27" s="675" t="s">
        <v>317</v>
      </c>
    </row>
    <row r="28" spans="2:17">
      <c r="B28" s="931" t="s">
        <v>350</v>
      </c>
      <c r="C28" s="676" t="s">
        <v>19</v>
      </c>
      <c r="D28" s="247">
        <f>$M$3*11435</f>
        <v>3316.1499999999996</v>
      </c>
      <c r="E28" s="249">
        <f>Wskaźniki!$C$19</f>
        <v>0.72</v>
      </c>
      <c r="F28" s="248">
        <f>Wskaźniki!$C$17</f>
        <v>4.48E-2</v>
      </c>
      <c r="G28" s="248">
        <f>Wskaźniki!$C$18</f>
        <v>6.8610000000000004E-2</v>
      </c>
      <c r="H28" s="249">
        <f>D28*E28*F28</f>
        <v>106.96573439999999</v>
      </c>
      <c r="I28" s="249">
        <f>H28*$C$19</f>
        <v>29.629508428799998</v>
      </c>
      <c r="J28" s="249">
        <f>H28*G28</f>
        <v>7.3389190371839996</v>
      </c>
    </row>
    <row r="29" spans="2:17">
      <c r="B29" s="932"/>
      <c r="C29" s="676" t="s">
        <v>339</v>
      </c>
      <c r="D29" s="247">
        <f>$M$4*11435</f>
        <v>8004.4999999999991</v>
      </c>
      <c r="E29" s="249">
        <f>Wskaźniki!$C$19</f>
        <v>0.72</v>
      </c>
      <c r="F29" s="248">
        <f>Wskaźniki!$C$20</f>
        <v>4.333E-2</v>
      </c>
      <c r="G29" s="248">
        <f>Wskaźniki!$C$21</f>
        <v>7.3330000000000006E-2</v>
      </c>
      <c r="H29" s="249">
        <f t="shared" ref="H29:H39" si="8">D29*E29*F29</f>
        <v>249.72118919999994</v>
      </c>
      <c r="I29" s="249">
        <f t="shared" ref="I29:I39" si="9">H29*$C$19</f>
        <v>69.172769408399986</v>
      </c>
      <c r="J29" s="249">
        <f t="shared" ref="J29:J39" si="10">H29*G29</f>
        <v>18.312054804035999</v>
      </c>
    </row>
    <row r="30" spans="2:17">
      <c r="B30" s="933"/>
      <c r="C30" s="676" t="s">
        <v>341</v>
      </c>
      <c r="D30" s="247">
        <f>$M$5*11435</f>
        <v>114.35000000000001</v>
      </c>
      <c r="E30" s="249">
        <f>Wskaźniki!$C$19</f>
        <v>0.72</v>
      </c>
      <c r="F30" s="248">
        <f>Wskaźniki!$C$14</f>
        <v>4.7309999999999998E-2</v>
      </c>
      <c r="G30" s="248">
        <f>Wskaźniki!$C$15</f>
        <v>6.2440000000000002E-2</v>
      </c>
      <c r="H30" s="249">
        <f t="shared" si="8"/>
        <v>3.89512692</v>
      </c>
      <c r="I30" s="249">
        <f t="shared" si="9"/>
        <v>1.0789501568400002</v>
      </c>
      <c r="J30" s="249">
        <f t="shared" si="10"/>
        <v>0.2432117248848</v>
      </c>
    </row>
    <row r="31" spans="2:17">
      <c r="B31" s="931" t="s">
        <v>351</v>
      </c>
      <c r="C31" s="676" t="s">
        <v>19</v>
      </c>
      <c r="D31" s="247">
        <f>$M$3*40000</f>
        <v>11600</v>
      </c>
      <c r="E31" s="249">
        <f>Wskaźniki!$C$19</f>
        <v>0.72</v>
      </c>
      <c r="F31" s="248">
        <f>Wskaźniki!$C$17</f>
        <v>4.48E-2</v>
      </c>
      <c r="G31" s="248">
        <f>Wskaźniki!$C$18</f>
        <v>6.8610000000000004E-2</v>
      </c>
      <c r="H31" s="249">
        <f t="shared" si="8"/>
        <v>374.1696</v>
      </c>
      <c r="I31" s="249">
        <f t="shared" si="9"/>
        <v>103.64497920000001</v>
      </c>
      <c r="J31" s="249">
        <f t="shared" si="10"/>
        <v>25.671776256000001</v>
      </c>
    </row>
    <row r="32" spans="2:17">
      <c r="B32" s="932"/>
      <c r="C32" s="676" t="s">
        <v>339</v>
      </c>
      <c r="D32" s="247">
        <f>$M$4*40000</f>
        <v>28000</v>
      </c>
      <c r="E32" s="249">
        <f>Wskaźniki!$C$19</f>
        <v>0.72</v>
      </c>
      <c r="F32" s="248">
        <f>Wskaźniki!$C$20</f>
        <v>4.333E-2</v>
      </c>
      <c r="G32" s="248">
        <f>Wskaźniki!$C$21</f>
        <v>7.3330000000000006E-2</v>
      </c>
      <c r="H32" s="249">
        <f t="shared" si="8"/>
        <v>873.53280000000007</v>
      </c>
      <c r="I32" s="249">
        <f t="shared" si="9"/>
        <v>241.96858560000004</v>
      </c>
      <c r="J32" s="249">
        <f t="shared" si="10"/>
        <v>64.05616022400001</v>
      </c>
    </row>
    <row r="33" spans="2:10">
      <c r="B33" s="933"/>
      <c r="C33" s="676" t="s">
        <v>341</v>
      </c>
      <c r="D33" s="247">
        <f>$M$5*40000</f>
        <v>400</v>
      </c>
      <c r="E33" s="249">
        <f>Wskaźniki!$C$19</f>
        <v>0.72</v>
      </c>
      <c r="F33" s="248">
        <f>Wskaźniki!$C$14</f>
        <v>4.7309999999999998E-2</v>
      </c>
      <c r="G33" s="248">
        <f>Wskaźniki!$C$15</f>
        <v>6.2440000000000002E-2</v>
      </c>
      <c r="H33" s="249">
        <f t="shared" si="8"/>
        <v>13.62528</v>
      </c>
      <c r="I33" s="249">
        <f t="shared" si="9"/>
        <v>3.7742025600000004</v>
      </c>
      <c r="J33" s="249">
        <f t="shared" si="10"/>
        <v>0.85076248320000003</v>
      </c>
    </row>
    <row r="34" spans="2:10">
      <c r="B34" s="934" t="s">
        <v>388</v>
      </c>
      <c r="C34" s="676" t="s">
        <v>19</v>
      </c>
      <c r="D34" s="247">
        <f>$M$3*10637</f>
        <v>3084.7299999999996</v>
      </c>
      <c r="E34" s="249">
        <f>Wskaźniki!$C$19</f>
        <v>0.72</v>
      </c>
      <c r="F34" s="248">
        <f>Wskaźniki!$C$17</f>
        <v>4.48E-2</v>
      </c>
      <c r="G34" s="248">
        <f>Wskaźniki!$C$18</f>
        <v>6.8610000000000004E-2</v>
      </c>
      <c r="H34" s="249">
        <f t="shared" si="8"/>
        <v>99.50105087999998</v>
      </c>
      <c r="I34" s="249">
        <f t="shared" si="9"/>
        <v>27.561791093759997</v>
      </c>
      <c r="J34" s="249">
        <f t="shared" si="10"/>
        <v>6.8267671008767987</v>
      </c>
    </row>
    <row r="35" spans="2:10">
      <c r="B35" s="935"/>
      <c r="C35" s="676" t="s">
        <v>339</v>
      </c>
      <c r="D35" s="247">
        <f t="shared" ref="D35:D36" si="11">$M$3*10637</f>
        <v>3084.7299999999996</v>
      </c>
      <c r="E35" s="249">
        <f>Wskaźniki!$C$19</f>
        <v>0.72</v>
      </c>
      <c r="F35" s="248">
        <f>Wskaźniki!$C$20</f>
        <v>4.333E-2</v>
      </c>
      <c r="G35" s="248">
        <f>Wskaźniki!$C$21</f>
        <v>7.3330000000000006E-2</v>
      </c>
      <c r="H35" s="249">
        <f t="shared" si="8"/>
        <v>96.236172647999979</v>
      </c>
      <c r="I35" s="249">
        <f t="shared" si="9"/>
        <v>26.657419823495996</v>
      </c>
      <c r="J35" s="249">
        <f t="shared" si="10"/>
        <v>7.0569985402778395</v>
      </c>
    </row>
    <row r="36" spans="2:10">
      <c r="B36" s="936"/>
      <c r="C36" s="676" t="s">
        <v>341</v>
      </c>
      <c r="D36" s="247">
        <f t="shared" si="11"/>
        <v>3084.7299999999996</v>
      </c>
      <c r="E36" s="249">
        <f>Wskaźniki!$C$19</f>
        <v>0.72</v>
      </c>
      <c r="F36" s="248">
        <v>4.7309999999999998E-2</v>
      </c>
      <c r="G36" s="248">
        <v>6.2440000000000002E-2</v>
      </c>
      <c r="H36" s="249">
        <f t="shared" si="8"/>
        <v>105.07577493599997</v>
      </c>
      <c r="I36" s="249">
        <f t="shared" si="9"/>
        <v>29.105989657271994</v>
      </c>
      <c r="J36" s="249">
        <f t="shared" si="10"/>
        <v>6.5609313870038388</v>
      </c>
    </row>
    <row r="37" spans="2:10">
      <c r="B37" s="934" t="s">
        <v>352</v>
      </c>
      <c r="C37" s="676" t="s">
        <v>19</v>
      </c>
      <c r="D37" s="247">
        <f>$M$3*46000</f>
        <v>13339.999999999998</v>
      </c>
      <c r="E37" s="249">
        <f>Wskaźniki!$C$19</f>
        <v>0.72</v>
      </c>
      <c r="F37" s="248">
        <f>Wskaźniki!$C$17</f>
        <v>4.48E-2</v>
      </c>
      <c r="G37" s="248">
        <f>Wskaźniki!$C$18</f>
        <v>6.8610000000000004E-2</v>
      </c>
      <c r="H37" s="249">
        <f t="shared" si="8"/>
        <v>430.29503999999986</v>
      </c>
      <c r="I37" s="249">
        <f t="shared" si="9"/>
        <v>119.19172607999997</v>
      </c>
      <c r="J37" s="249">
        <f t="shared" si="10"/>
        <v>29.522542694399991</v>
      </c>
    </row>
    <row r="38" spans="2:10">
      <c r="B38" s="935"/>
      <c r="C38" s="676" t="s">
        <v>339</v>
      </c>
      <c r="D38" s="247">
        <f>$M$4*46000</f>
        <v>32199.999999999996</v>
      </c>
      <c r="E38" s="249">
        <f>Wskaźniki!$C$19</f>
        <v>0.72</v>
      </c>
      <c r="F38" s="248">
        <f>Wskaźniki!$C$20</f>
        <v>4.333E-2</v>
      </c>
      <c r="G38" s="248">
        <f>Wskaźniki!$C$21</f>
        <v>7.3330000000000006E-2</v>
      </c>
      <c r="H38" s="249">
        <f t="shared" si="8"/>
        <v>1004.5627199999999</v>
      </c>
      <c r="I38" s="249">
        <f t="shared" si="9"/>
        <v>278.26387344</v>
      </c>
      <c r="J38" s="249">
        <f t="shared" si="10"/>
        <v>73.664584257599998</v>
      </c>
    </row>
    <row r="39" spans="2:10">
      <c r="B39" s="936"/>
      <c r="C39" s="676" t="s">
        <v>341</v>
      </c>
      <c r="D39" s="247">
        <f>$M$5*46000</f>
        <v>460</v>
      </c>
      <c r="E39" s="249">
        <f>Wskaźniki!$C$19</f>
        <v>0.72</v>
      </c>
      <c r="F39" s="248">
        <f>Wskaźniki!$C$14</f>
        <v>4.7309999999999998E-2</v>
      </c>
      <c r="G39" s="248">
        <f>Wskaźniki!$C$15</f>
        <v>6.2440000000000002E-2</v>
      </c>
      <c r="H39" s="249">
        <f t="shared" si="8"/>
        <v>15.669071999999998</v>
      </c>
      <c r="I39" s="249">
        <f t="shared" si="9"/>
        <v>4.340332944</v>
      </c>
      <c r="J39" s="249">
        <f t="shared" si="10"/>
        <v>0.97837685567999988</v>
      </c>
    </row>
    <row r="40" spans="2:10">
      <c r="B40" s="927" t="s">
        <v>3</v>
      </c>
      <c r="C40" s="928"/>
      <c r="D40" s="256">
        <f>SUM(D28:D39)</f>
        <v>106689.18999999999</v>
      </c>
      <c r="E40" s="597"/>
      <c r="F40" s="257"/>
      <c r="G40" s="257"/>
      <c r="H40" s="258">
        <f>SUM(H28:H39)</f>
        <v>3373.2495609839998</v>
      </c>
      <c r="I40" s="258">
        <f t="shared" ref="I40:J40" si="12">SUM(I28:I39)</f>
        <v>934.39012839256793</v>
      </c>
      <c r="J40" s="258">
        <f t="shared" si="12"/>
        <v>241.08308536514326</v>
      </c>
    </row>
    <row r="41" spans="2:10">
      <c r="B41" s="265"/>
      <c r="C41" s="265"/>
      <c r="D41" s="264"/>
      <c r="E41" s="598"/>
      <c r="F41" s="264"/>
      <c r="G41" s="264"/>
      <c r="H41" s="264"/>
      <c r="I41" s="264"/>
      <c r="J41" s="264"/>
    </row>
    <row r="42" spans="2:10">
      <c r="B42" s="929" t="s">
        <v>211</v>
      </c>
      <c r="C42" s="930"/>
      <c r="D42" s="267"/>
      <c r="E42" s="598"/>
      <c r="F42" s="264"/>
      <c r="G42" s="264"/>
      <c r="H42" s="264"/>
      <c r="I42" s="266"/>
      <c r="J42" s="266"/>
    </row>
    <row r="43" spans="2:10">
      <c r="B43" s="675" t="s">
        <v>212</v>
      </c>
      <c r="C43" s="269">
        <v>3.6</v>
      </c>
      <c r="D43" s="264"/>
      <c r="E43" s="598"/>
      <c r="F43" s="264"/>
      <c r="G43" s="264"/>
      <c r="H43" s="264"/>
      <c r="I43" s="264"/>
      <c r="J43" s="264"/>
    </row>
    <row r="44" spans="2:10">
      <c r="B44" s="675" t="s">
        <v>213</v>
      </c>
      <c r="C44" s="269">
        <v>0.27700000000000002</v>
      </c>
      <c r="D44" s="264"/>
      <c r="E44" s="598"/>
      <c r="F44" s="264"/>
      <c r="G44" s="264"/>
      <c r="H44" s="264"/>
      <c r="I44" s="264"/>
      <c r="J44" s="264"/>
    </row>
    <row r="46" spans="2:10" ht="51">
      <c r="B46" s="925" t="s">
        <v>355</v>
      </c>
      <c r="C46" s="675" t="s">
        <v>598</v>
      </c>
      <c r="D46" s="675" t="s">
        <v>336</v>
      </c>
      <c r="E46" s="675" t="s">
        <v>337</v>
      </c>
      <c r="F46" s="675" t="s">
        <v>317</v>
      </c>
      <c r="J46" s="263"/>
    </row>
    <row r="47" spans="2:10">
      <c r="B47" s="925"/>
      <c r="C47" s="248" t="s">
        <v>19</v>
      </c>
      <c r="D47" s="249">
        <f>H28+H31+H34+H37</f>
        <v>1010.9314252799999</v>
      </c>
      <c r="E47" s="249">
        <f t="shared" ref="E47:F49" si="13">I28+I31+I34+I37</f>
        <v>280.02800480255996</v>
      </c>
      <c r="F47" s="249">
        <f t="shared" si="13"/>
        <v>69.360005088460795</v>
      </c>
      <c r="J47" s="263"/>
    </row>
    <row r="48" spans="2:10">
      <c r="B48" s="925"/>
      <c r="C48" s="248" t="s">
        <v>339</v>
      </c>
      <c r="D48" s="249">
        <f t="shared" ref="D48:D49" si="14">H29+H32+H35+H38</f>
        <v>2224.0528818479997</v>
      </c>
      <c r="E48" s="249">
        <f t="shared" si="13"/>
        <v>616.06264827189602</v>
      </c>
      <c r="F48" s="249">
        <f t="shared" si="13"/>
        <v>163.08979782591385</v>
      </c>
      <c r="J48" s="263"/>
    </row>
    <row r="49" spans="2:10">
      <c r="B49" s="925"/>
      <c r="C49" s="248" t="s">
        <v>341</v>
      </c>
      <c r="D49" s="249">
        <f t="shared" si="14"/>
        <v>138.26525385599996</v>
      </c>
      <c r="E49" s="249">
        <f t="shared" si="13"/>
        <v>38.299475318111988</v>
      </c>
      <c r="F49" s="249">
        <f t="shared" si="13"/>
        <v>8.6332824507686396</v>
      </c>
      <c r="J49" s="263"/>
    </row>
    <row r="50" spans="2:10">
      <c r="B50" s="927" t="s">
        <v>3</v>
      </c>
      <c r="C50" s="928"/>
      <c r="D50" s="258">
        <f>SUM(D47:D49)</f>
        <v>3373.2495609839998</v>
      </c>
      <c r="E50" s="258">
        <f t="shared" ref="E50:F50" si="15">SUM(E47:E49)</f>
        <v>934.39012839256793</v>
      </c>
      <c r="F50" s="258">
        <f t="shared" si="15"/>
        <v>241.08308536514326</v>
      </c>
      <c r="J50" s="263"/>
    </row>
  </sheetData>
  <mergeCells count="17">
    <mergeCell ref="B37:B39"/>
    <mergeCell ref="B40:C40"/>
    <mergeCell ref="B42:C42"/>
    <mergeCell ref="B46:B49"/>
    <mergeCell ref="B50:C50"/>
    <mergeCell ref="B34:B36"/>
    <mergeCell ref="L2:M2"/>
    <mergeCell ref="B3:B5"/>
    <mergeCell ref="B6:B8"/>
    <mergeCell ref="B9:B11"/>
    <mergeCell ref="B12:B14"/>
    <mergeCell ref="B15:C15"/>
    <mergeCell ref="B17:C17"/>
    <mergeCell ref="B21:B24"/>
    <mergeCell ref="B25:C25"/>
    <mergeCell ref="B28:B30"/>
    <mergeCell ref="B31:B33"/>
  </mergeCells>
  <pageMargins left="0.7" right="0.7" top="0.75" bottom="0.75" header="0.3" footer="0.3"/>
  <pageSetup paperSize="9" scale="45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E19"/>
  <sheetViews>
    <sheetView showGridLines="0" workbookViewId="0">
      <selection activeCell="H29" sqref="H29"/>
    </sheetView>
  </sheetViews>
  <sheetFormatPr defaultRowHeight="15"/>
  <cols>
    <col min="1" max="1" width="5.5" style="170" customWidth="1"/>
    <col min="2" max="2" width="31.25" style="170" customWidth="1"/>
    <col min="3" max="3" width="22.25" style="142" customWidth="1"/>
    <col min="4" max="5" width="20.75" style="142" customWidth="1"/>
    <col min="6" max="16384" width="9" style="170"/>
  </cols>
  <sheetData>
    <row r="3" spans="2:5">
      <c r="B3" s="238">
        <v>2014</v>
      </c>
      <c r="C3" s="238" t="s">
        <v>358</v>
      </c>
      <c r="D3" s="238" t="s">
        <v>359</v>
      </c>
      <c r="E3" s="238" t="s">
        <v>317</v>
      </c>
    </row>
    <row r="4" spans="2:5">
      <c r="B4" s="238" t="s">
        <v>356</v>
      </c>
      <c r="C4" s="153">
        <f>'Transport prywatny_2020'!E19</f>
        <v>139720.71936636194</v>
      </c>
      <c r="D4" s="153">
        <f>'Transport prywatny_2020'!F19</f>
        <v>38702.63926448227</v>
      </c>
      <c r="E4" s="153">
        <f>'Transport prywatny_2020'!G19</f>
        <v>10109.811562368688</v>
      </c>
    </row>
    <row r="5" spans="2:5">
      <c r="B5" s="238" t="s">
        <v>357</v>
      </c>
      <c r="C5" s="153">
        <f>'Transport komercyjny_2020'!E19</f>
        <v>37220.7556840576</v>
      </c>
      <c r="D5" s="153">
        <f>'Transport komercyjny_2020'!F19</f>
        <v>10310.149324483957</v>
      </c>
      <c r="E5" s="153">
        <f>'Transport komercyjny_2020'!G19</f>
        <v>2675.3082863980503</v>
      </c>
    </row>
    <row r="6" spans="2:5">
      <c r="B6" s="238" t="s">
        <v>513</v>
      </c>
      <c r="C6" s="153">
        <f>'Transport kom. autobusy_2020'!E16</f>
        <v>444.48780600000003</v>
      </c>
      <c r="D6" s="153">
        <f>'Transport kom. autobusy_2020'!F16</f>
        <v>123.12312226200002</v>
      </c>
      <c r="E6" s="153">
        <f>'Transport kom. autobusy_2020'!G16</f>
        <v>32.594290813980002</v>
      </c>
    </row>
    <row r="7" spans="2:5">
      <c r="B7" s="238" t="s">
        <v>348</v>
      </c>
      <c r="C7" s="153">
        <f>'Tabor gminny_2020'!D25</f>
        <v>3373.2495609839998</v>
      </c>
      <c r="D7" s="153">
        <f>'Tabor gminny_2020'!E25</f>
        <v>934.39012839256793</v>
      </c>
      <c r="E7" s="153">
        <f>'Tabor gminny_2020'!F25</f>
        <v>241.08308536514326</v>
      </c>
    </row>
    <row r="8" spans="2:5">
      <c r="B8" s="238" t="s">
        <v>3</v>
      </c>
      <c r="C8" s="153">
        <f>SUM(C4:C7)</f>
        <v>180759.21241740353</v>
      </c>
      <c r="D8" s="153">
        <f t="shared" ref="D8:E8" si="0">SUM(D4:D7)</f>
        <v>50070.301839620792</v>
      </c>
      <c r="E8" s="153">
        <f t="shared" si="0"/>
        <v>13058.797224945863</v>
      </c>
    </row>
    <row r="10" spans="2:5">
      <c r="B10" s="238" t="s">
        <v>118</v>
      </c>
      <c r="C10" s="238" t="s">
        <v>358</v>
      </c>
      <c r="D10" s="238" t="s">
        <v>359</v>
      </c>
      <c r="E10" s="238" t="s">
        <v>317</v>
      </c>
    </row>
    <row r="11" spans="2:5">
      <c r="B11" s="238" t="s">
        <v>356</v>
      </c>
      <c r="C11" s="153">
        <f>'Transport prywatny_2020'!E34</f>
        <v>138083.38864265996</v>
      </c>
      <c r="D11" s="153">
        <f>'Transport prywatny_2020'!F34</f>
        <v>38249.098654016809</v>
      </c>
      <c r="E11" s="153">
        <f>'Transport prywatny_2020'!G34</f>
        <v>9991.3197908420298</v>
      </c>
    </row>
    <row r="12" spans="2:5">
      <c r="B12" s="238" t="s">
        <v>357</v>
      </c>
      <c r="C12" s="153">
        <f>'Transport komercyjny_2020'!E34</f>
        <v>36783.232107586729</v>
      </c>
      <c r="D12" s="153">
        <f>'Transport komercyjny_2020'!F34</f>
        <v>10188.955293801526</v>
      </c>
      <c r="E12" s="153">
        <f>'Transport komercyjny_2020'!G34</f>
        <v>2643.8604979769143</v>
      </c>
    </row>
    <row r="13" spans="2:5">
      <c r="B13" s="238" t="str">
        <f>B6</f>
        <v>Transport komercyjny autobusy</v>
      </c>
      <c r="C13" s="153">
        <f>'Transport kom. autobusy_2020'!E28</f>
        <v>395.10027200000007</v>
      </c>
      <c r="D13" s="153">
        <f>'Transport kom. autobusy_2020'!F28</f>
        <v>109.44277534400003</v>
      </c>
      <c r="E13" s="153">
        <f>'Transport kom. autobusy_2020'!G28</f>
        <v>28.972702945760009</v>
      </c>
    </row>
    <row r="14" spans="2:5">
      <c r="B14" s="238" t="s">
        <v>348</v>
      </c>
      <c r="C14" s="153">
        <f>'Tabor gminny_2020'!D50</f>
        <v>3373.2495609839998</v>
      </c>
      <c r="D14" s="153">
        <f>'Tabor gminny_2020'!E50</f>
        <v>934.39012839256793</v>
      </c>
      <c r="E14" s="153">
        <f>'Tabor gminny_2020'!F50</f>
        <v>241.08308536514326</v>
      </c>
    </row>
    <row r="15" spans="2:5">
      <c r="B15" s="238" t="s">
        <v>3</v>
      </c>
      <c r="C15" s="153">
        <f>SUM(C11:C14)</f>
        <v>178634.97058323069</v>
      </c>
      <c r="D15" s="153">
        <f t="shared" ref="D15" si="1">SUM(D11:D14)</f>
        <v>49481.886851554904</v>
      </c>
      <c r="E15" s="153">
        <f t="shared" ref="E15" si="2">SUM(E11:E14)</f>
        <v>12905.23607712985</v>
      </c>
    </row>
    <row r="19" spans="4:4">
      <c r="D19" s="63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3:E19"/>
  <sheetViews>
    <sheetView showGridLines="0" topLeftCell="C4" workbookViewId="0">
      <selection activeCell="C5" sqref="C5"/>
    </sheetView>
  </sheetViews>
  <sheetFormatPr defaultRowHeight="15"/>
  <cols>
    <col min="1" max="1" width="5.5" style="170" customWidth="1"/>
    <col min="2" max="2" width="31.25" style="170" customWidth="1"/>
    <col min="3" max="3" width="22.25" style="142" customWidth="1"/>
    <col min="4" max="5" width="20.75" style="142" customWidth="1"/>
    <col min="6" max="16384" width="9" style="170"/>
  </cols>
  <sheetData>
    <row r="3" spans="2:5">
      <c r="B3" s="238">
        <v>2014</v>
      </c>
      <c r="C3" s="238" t="s">
        <v>358</v>
      </c>
      <c r="D3" s="238" t="s">
        <v>359</v>
      </c>
      <c r="E3" s="238" t="s">
        <v>317</v>
      </c>
    </row>
    <row r="4" spans="2:5">
      <c r="B4" s="238" t="s">
        <v>356</v>
      </c>
      <c r="C4" s="153">
        <f>'Transport prywatny_2020'!E19</f>
        <v>139720.71936636194</v>
      </c>
      <c r="D4" s="153">
        <f>'Transport prywatny_2020'!F19</f>
        <v>38702.63926448227</v>
      </c>
      <c r="E4" s="153">
        <f>'Transport prywatny_2020'!G19</f>
        <v>10109.811562368688</v>
      </c>
    </row>
    <row r="5" spans="2:5">
      <c r="B5" s="238" t="s">
        <v>357</v>
      </c>
      <c r="C5" s="153">
        <f>'Transport komercyjny_2020'!E19</f>
        <v>37220.7556840576</v>
      </c>
      <c r="D5" s="153">
        <f>'Transport komercyjny_2020'!F19</f>
        <v>10310.149324483957</v>
      </c>
      <c r="E5" s="153">
        <f>'Transport komercyjny_2020'!G19</f>
        <v>2675.3082863980503</v>
      </c>
    </row>
    <row r="6" spans="2:5">
      <c r="B6" s="238" t="s">
        <v>513</v>
      </c>
      <c r="C6" s="153">
        <f>'Transport kom. autobusy_2020'!E16</f>
        <v>444.48780600000003</v>
      </c>
      <c r="D6" s="153">
        <f>'Transport kom. autobusy_2020'!F16</f>
        <v>123.12312226200002</v>
      </c>
      <c r="E6" s="153">
        <f>'Transport kom. autobusy_2020'!G16</f>
        <v>32.594290813980002</v>
      </c>
    </row>
    <row r="7" spans="2:5">
      <c r="B7" s="238" t="s">
        <v>348</v>
      </c>
      <c r="C7" s="153">
        <f>'Tabor gminny_2020'!D25</f>
        <v>3373.2495609839998</v>
      </c>
      <c r="D7" s="153">
        <f>'Tabor gminny_2020'!E25</f>
        <v>934.39012839256793</v>
      </c>
      <c r="E7" s="153">
        <f>'Tabor gminny_2020'!F25</f>
        <v>241.08308536514326</v>
      </c>
    </row>
    <row r="8" spans="2:5">
      <c r="B8" s="238" t="s">
        <v>3</v>
      </c>
      <c r="C8" s="153">
        <f>SUM(C4:C7)</f>
        <v>180759.21241740353</v>
      </c>
      <c r="D8" s="153">
        <f t="shared" ref="D8:E8" si="0">SUM(D4:D7)</f>
        <v>50070.301839620792</v>
      </c>
      <c r="E8" s="153">
        <f t="shared" si="0"/>
        <v>13058.797224945863</v>
      </c>
    </row>
    <row r="10" spans="2:5">
      <c r="B10" s="238" t="s">
        <v>598</v>
      </c>
      <c r="C10" s="238" t="s">
        <v>358</v>
      </c>
      <c r="D10" s="238" t="s">
        <v>359</v>
      </c>
      <c r="E10" s="238" t="s">
        <v>317</v>
      </c>
    </row>
    <row r="11" spans="2:5">
      <c r="B11" s="238" t="s">
        <v>356</v>
      </c>
      <c r="C11" s="153">
        <f>'Transport prywatny_2024'!E34</f>
        <v>137061.60687912081</v>
      </c>
      <c r="D11" s="153">
        <f>'Transport prywatny_2024'!F34</f>
        <v>37966.065105516471</v>
      </c>
      <c r="E11" s="153">
        <f>'Transport prywatny_2024'!G34</f>
        <v>9917.4054089287001</v>
      </c>
    </row>
    <row r="12" spans="2:5">
      <c r="B12" s="238" t="s">
        <v>357</v>
      </c>
      <c r="C12" s="153">
        <f>'Transport komercyjny_2024'!E34</f>
        <v>36512.384179295237</v>
      </c>
      <c r="D12" s="153">
        <f>'Transport komercyjny_2024'!F34</f>
        <v>10113.930417664782</v>
      </c>
      <c r="E12" s="153">
        <f>'Transport komercyjny_2024'!G34</f>
        <v>2624.3928194304967</v>
      </c>
    </row>
    <row r="13" spans="2:5">
      <c r="B13" s="238" t="str">
        <f>B6</f>
        <v>Transport komercyjny autobusy</v>
      </c>
      <c r="C13" s="153">
        <f>'Transport kom. autobusy_2024'!E28</f>
        <v>395.10027200000007</v>
      </c>
      <c r="D13" s="153">
        <f>'Transport kom. autobusy_2024'!F28</f>
        <v>109.44277534400003</v>
      </c>
      <c r="E13" s="153">
        <f>'Transport kom. autobusy_2024'!G28</f>
        <v>28.972702945760009</v>
      </c>
    </row>
    <row r="14" spans="2:5">
      <c r="B14" s="238" t="s">
        <v>348</v>
      </c>
      <c r="C14" s="153">
        <f>'Tabor gminny_2024'!D50</f>
        <v>3373.2495609839998</v>
      </c>
      <c r="D14" s="153">
        <f>'Tabor gminny_2024'!E50</f>
        <v>934.39012839256793</v>
      </c>
      <c r="E14" s="153">
        <f>'Tabor gminny_2024'!F50</f>
        <v>241.08308536514326</v>
      </c>
    </row>
    <row r="15" spans="2:5">
      <c r="B15" s="238" t="s">
        <v>3</v>
      </c>
      <c r="C15" s="153">
        <f>SUM(C11:C14)</f>
        <v>177342.34089140006</v>
      </c>
      <c r="D15" s="153">
        <f t="shared" ref="D15:E15" si="1">SUM(D11:D14)</f>
        <v>49123.828426917818</v>
      </c>
      <c r="E15" s="153">
        <f t="shared" si="1"/>
        <v>12811.854016670102</v>
      </c>
    </row>
    <row r="17" spans="4:5">
      <c r="E17" s="633">
        <f>E8-E15</f>
        <v>246.94320827576121</v>
      </c>
    </row>
    <row r="19" spans="4:5">
      <c r="D19" s="633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AJ124"/>
  <sheetViews>
    <sheetView showGridLines="0" view="pageBreakPreview" topLeftCell="G97" zoomScale="74" zoomScaleNormal="90" zoomScaleSheetLayoutView="74" workbookViewId="0">
      <selection activeCell="E27" sqref="B14:E27"/>
    </sheetView>
  </sheetViews>
  <sheetFormatPr defaultRowHeight="15"/>
  <cols>
    <col min="1" max="1" width="2.5" style="6" customWidth="1"/>
    <col min="2" max="2" width="17.5" style="6" customWidth="1"/>
    <col min="3" max="4" width="7.5" style="6" customWidth="1"/>
    <col min="5" max="22" width="6" style="6" customWidth="1"/>
    <col min="23" max="29" width="7" style="6" customWidth="1"/>
    <col min="30" max="35" width="8.625" style="6" bestFit="1" customWidth="1"/>
    <col min="36" max="36" width="7" style="6" customWidth="1"/>
    <col min="37" max="16384" width="9" style="6"/>
  </cols>
  <sheetData>
    <row r="1" spans="2:36" s="9" customFormat="1" ht="15" customHeight="1" thickBot="1"/>
    <row r="2" spans="2:36" s="9" customFormat="1" ht="19.5" thickBot="1">
      <c r="B2" s="10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</row>
    <row r="3" spans="2:36" s="9" customFormat="1" ht="19.5" thickBot="1"/>
    <row r="4" spans="2:36" s="9" customFormat="1" ht="19.5" thickBot="1">
      <c r="B4" s="47" t="s">
        <v>36</v>
      </c>
      <c r="C4" s="4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36" s="9" customFormat="1" ht="19.5" thickBot="1">
      <c r="B5" s="51" t="s">
        <v>9</v>
      </c>
      <c r="C5" s="52">
        <v>2005</v>
      </c>
      <c r="D5" s="52">
        <v>2006</v>
      </c>
      <c r="E5" s="52">
        <v>2007</v>
      </c>
      <c r="F5" s="52">
        <v>2008</v>
      </c>
      <c r="G5" s="52">
        <v>2009</v>
      </c>
      <c r="H5" s="52">
        <v>2010</v>
      </c>
      <c r="I5" s="52">
        <v>2011</v>
      </c>
      <c r="J5" s="52">
        <v>2012</v>
      </c>
      <c r="K5" s="52">
        <v>2013</v>
      </c>
      <c r="L5" s="52">
        <v>2014</v>
      </c>
      <c r="M5" s="52">
        <v>2015</v>
      </c>
      <c r="N5" s="52">
        <v>2016</v>
      </c>
      <c r="O5" s="52">
        <v>2017</v>
      </c>
      <c r="P5" s="52">
        <v>2018</v>
      </c>
      <c r="Q5" s="52">
        <v>2019</v>
      </c>
      <c r="R5" s="52">
        <v>2020</v>
      </c>
      <c r="S5" s="52">
        <v>2021</v>
      </c>
      <c r="T5" s="52">
        <v>2022</v>
      </c>
      <c r="U5" s="52">
        <v>2023</v>
      </c>
      <c r="V5" s="52">
        <v>2024</v>
      </c>
    </row>
    <row r="6" spans="2:36" ht="15.75" thickBot="1"/>
    <row r="7" spans="2:36" ht="15.75" thickBot="1">
      <c r="B7" s="47" t="s">
        <v>23</v>
      </c>
      <c r="C7" s="48"/>
      <c r="AB7" s="829" t="s">
        <v>28</v>
      </c>
      <c r="AC7" s="830"/>
      <c r="AD7" s="830"/>
      <c r="AE7" s="830"/>
      <c r="AF7" s="831"/>
    </row>
    <row r="8" spans="2:36">
      <c r="B8" s="156" t="s">
        <v>9</v>
      </c>
      <c r="C8" s="40">
        <v>2005</v>
      </c>
      <c r="D8" s="40">
        <v>2006</v>
      </c>
      <c r="E8" s="40">
        <v>2007</v>
      </c>
      <c r="F8" s="40">
        <v>2008</v>
      </c>
      <c r="G8" s="40">
        <v>2009</v>
      </c>
      <c r="H8" s="40">
        <v>2010</v>
      </c>
      <c r="I8" s="40">
        <v>2011</v>
      </c>
      <c r="J8" s="40">
        <v>2012</v>
      </c>
      <c r="K8" s="50">
        <v>2013</v>
      </c>
      <c r="L8" s="40">
        <v>2014</v>
      </c>
      <c r="M8" s="40">
        <v>2015</v>
      </c>
      <c r="N8" s="40">
        <v>2016</v>
      </c>
      <c r="O8" s="40">
        <v>2017</v>
      </c>
      <c r="P8" s="40">
        <v>2018</v>
      </c>
      <c r="Q8" s="41">
        <v>2019</v>
      </c>
      <c r="R8" s="832" t="s">
        <v>27</v>
      </c>
      <c r="S8" s="833"/>
      <c r="T8" s="833"/>
      <c r="U8" s="834"/>
      <c r="AB8" s="841" t="s">
        <v>9</v>
      </c>
      <c r="AC8" s="842"/>
      <c r="AD8" s="40">
        <v>2015</v>
      </c>
      <c r="AE8" s="40">
        <v>2016</v>
      </c>
      <c r="AF8" s="40">
        <v>2017</v>
      </c>
      <c r="AG8" s="40">
        <v>2018</v>
      </c>
      <c r="AH8" s="40">
        <v>2019</v>
      </c>
      <c r="AI8" s="40">
        <v>2020</v>
      </c>
    </row>
    <row r="9" spans="2:36" ht="30.75" customHeight="1" thickBot="1">
      <c r="B9" s="390" t="s">
        <v>38</v>
      </c>
      <c r="C9" s="391">
        <v>10869</v>
      </c>
      <c r="D9" s="392">
        <v>10907</v>
      </c>
      <c r="E9" s="392">
        <v>10863</v>
      </c>
      <c r="F9" s="392">
        <v>10874</v>
      </c>
      <c r="G9" s="392">
        <v>10846</v>
      </c>
      <c r="H9" s="392">
        <v>10944</v>
      </c>
      <c r="I9" s="392">
        <v>10880</v>
      </c>
      <c r="J9" s="392">
        <v>10791</v>
      </c>
      <c r="K9" s="392">
        <v>10791</v>
      </c>
      <c r="L9" s="685">
        <v>10719</v>
      </c>
      <c r="M9" s="694">
        <v>10683</v>
      </c>
      <c r="N9" s="695">
        <v>10526</v>
      </c>
      <c r="O9" s="695">
        <v>10586</v>
      </c>
      <c r="P9" s="695">
        <v>10596</v>
      </c>
      <c r="Q9" s="695">
        <v>10618</v>
      </c>
      <c r="R9" s="826">
        <f>(Q9/L9)^(1/5)-1</f>
        <v>-1.8916472853360844E-3</v>
      </c>
      <c r="S9" s="827"/>
      <c r="T9" s="827"/>
      <c r="U9" s="828"/>
      <c r="AB9" s="839" t="s">
        <v>38</v>
      </c>
      <c r="AC9" s="840"/>
      <c r="AD9" s="53">
        <f>INT(L9*(1+R9))</f>
        <v>10698</v>
      </c>
      <c r="AE9" s="53">
        <f>INT(AD9*(1+R9))</f>
        <v>10677</v>
      </c>
      <c r="AF9" s="53">
        <f>INT(AE9*(1+R9))</f>
        <v>10656</v>
      </c>
      <c r="AG9" s="53">
        <f>INT(AF9*(1+R9))</f>
        <v>10635</v>
      </c>
      <c r="AH9" s="53">
        <f>INT(AG9*(1+R9))</f>
        <v>10614</v>
      </c>
      <c r="AI9" s="53">
        <f>INT(AH9*(1+R9))</f>
        <v>10593</v>
      </c>
    </row>
    <row r="25" spans="2:35" ht="15.75" thickBot="1"/>
    <row r="26" spans="2:35" ht="15.75" thickBot="1">
      <c r="B26" s="47" t="s">
        <v>34</v>
      </c>
      <c r="C26" s="48"/>
      <c r="AB26" s="829" t="s">
        <v>35</v>
      </c>
      <c r="AC26" s="830"/>
      <c r="AD26" s="830"/>
      <c r="AE26" s="830"/>
      <c r="AF26" s="831"/>
    </row>
    <row r="27" spans="2:35">
      <c r="B27" s="39" t="s">
        <v>9</v>
      </c>
      <c r="C27" s="40">
        <v>2005</v>
      </c>
      <c r="D27" s="40">
        <v>2006</v>
      </c>
      <c r="E27" s="40">
        <v>2007</v>
      </c>
      <c r="F27" s="40">
        <v>2008</v>
      </c>
      <c r="G27" s="40">
        <v>2009</v>
      </c>
      <c r="H27" s="40">
        <v>2010</v>
      </c>
      <c r="I27" s="40">
        <v>2011</v>
      </c>
      <c r="J27" s="50">
        <v>2012</v>
      </c>
      <c r="K27" s="40">
        <v>2013</v>
      </c>
      <c r="L27" s="40">
        <v>2014</v>
      </c>
      <c r="M27" s="40">
        <v>2015</v>
      </c>
      <c r="N27" s="40">
        <v>2016</v>
      </c>
      <c r="O27" s="40">
        <v>2017</v>
      </c>
      <c r="P27" s="40">
        <v>2018</v>
      </c>
      <c r="Q27" s="41">
        <v>2019</v>
      </c>
      <c r="R27" s="832" t="s">
        <v>27</v>
      </c>
      <c r="S27" s="833"/>
      <c r="T27" s="833"/>
      <c r="U27" s="834"/>
      <c r="AB27" s="835" t="s">
        <v>9</v>
      </c>
      <c r="AC27" s="836"/>
      <c r="AD27" s="40">
        <v>2015</v>
      </c>
      <c r="AE27" s="40">
        <v>2016</v>
      </c>
      <c r="AF27" s="40">
        <v>2017</v>
      </c>
      <c r="AG27" s="40">
        <v>2018</v>
      </c>
      <c r="AH27" s="40">
        <v>2019</v>
      </c>
      <c r="AI27" s="40">
        <v>2020</v>
      </c>
    </row>
    <row r="28" spans="2:35" ht="15.75" thickBot="1">
      <c r="B28" s="42" t="s">
        <v>37</v>
      </c>
      <c r="C28" s="688">
        <v>4696</v>
      </c>
      <c r="D28" s="689">
        <v>4765</v>
      </c>
      <c r="E28" s="689">
        <v>4773</v>
      </c>
      <c r="F28" s="689">
        <v>4883</v>
      </c>
      <c r="G28" s="689">
        <v>4932</v>
      </c>
      <c r="H28" s="689">
        <v>4967</v>
      </c>
      <c r="I28" s="689">
        <v>5016</v>
      </c>
      <c r="J28" s="685">
        <v>5034</v>
      </c>
      <c r="K28" s="686">
        <v>5112</v>
      </c>
      <c r="L28" s="686">
        <v>5115</v>
      </c>
      <c r="M28" s="688">
        <v>5162</v>
      </c>
      <c r="N28" s="689">
        <v>5227</v>
      </c>
      <c r="O28" s="689">
        <v>5330</v>
      </c>
      <c r="P28" s="689">
        <v>5372</v>
      </c>
      <c r="Q28" s="696" t="s">
        <v>592</v>
      </c>
      <c r="R28" s="826">
        <f>(P28/L28)^(1/4)-1</f>
        <v>1.2331128897747679E-2</v>
      </c>
      <c r="S28" s="827"/>
      <c r="T28" s="827"/>
      <c r="U28" s="828"/>
      <c r="AB28" s="837" t="s">
        <v>37</v>
      </c>
      <c r="AC28" s="838"/>
      <c r="AD28" s="53">
        <f>INT(L28*(1+R28))</f>
        <v>5178</v>
      </c>
      <c r="AE28" s="53">
        <f>INT(AD28*(1+R28))</f>
        <v>5241</v>
      </c>
      <c r="AF28" s="53">
        <f>INT(AE28*(1+R28))</f>
        <v>5305</v>
      </c>
      <c r="AG28" s="53">
        <f>INT(AF28*(1+R28))</f>
        <v>5370</v>
      </c>
      <c r="AH28" s="53">
        <f>INT(AG28*(1+R28))</f>
        <v>5436</v>
      </c>
      <c r="AI28" s="53">
        <f>INT(AH28*(1+R28))</f>
        <v>5503</v>
      </c>
    </row>
    <row r="45" spans="2:21" ht="15.75" thickBot="1"/>
    <row r="46" spans="2:21" ht="15.75" thickBot="1">
      <c r="B46" s="47" t="s">
        <v>24</v>
      </c>
      <c r="C46" s="48"/>
      <c r="R46" s="119"/>
      <c r="S46" s="119"/>
      <c r="T46" s="119"/>
      <c r="U46" s="119"/>
    </row>
    <row r="47" spans="2:21">
      <c r="B47" s="117" t="s">
        <v>9</v>
      </c>
      <c r="C47" s="40">
        <v>2005</v>
      </c>
      <c r="D47" s="40">
        <v>2006</v>
      </c>
      <c r="E47" s="40">
        <v>2007</v>
      </c>
      <c r="F47" s="40">
        <v>2008</v>
      </c>
      <c r="G47" s="40">
        <v>2009</v>
      </c>
      <c r="H47" s="40">
        <v>2010</v>
      </c>
      <c r="I47" s="40">
        <v>2011</v>
      </c>
      <c r="J47" s="40">
        <v>2012</v>
      </c>
      <c r="K47" s="50">
        <v>2013</v>
      </c>
      <c r="L47" s="40">
        <v>2014</v>
      </c>
      <c r="M47" s="40">
        <v>2015</v>
      </c>
      <c r="N47" s="40">
        <v>2016</v>
      </c>
      <c r="O47" s="40">
        <v>2017</v>
      </c>
      <c r="P47" s="40">
        <v>2018</v>
      </c>
      <c r="Q47" s="41">
        <v>2019</v>
      </c>
      <c r="R47" s="823"/>
      <c r="S47" s="823"/>
      <c r="T47" s="823"/>
      <c r="U47" s="823"/>
    </row>
    <row r="48" spans="2:21" ht="15.75" customHeight="1" thickBot="1">
      <c r="B48" s="118" t="s">
        <v>29</v>
      </c>
      <c r="C48" s="120">
        <v>24</v>
      </c>
      <c r="D48" s="120">
        <v>84</v>
      </c>
      <c r="E48" s="120">
        <v>20</v>
      </c>
      <c r="F48" s="120">
        <v>60</v>
      </c>
      <c r="G48" s="120">
        <v>112</v>
      </c>
      <c r="H48" s="120">
        <v>85</v>
      </c>
      <c r="I48" s="120">
        <v>51</v>
      </c>
      <c r="J48" s="120">
        <v>21</v>
      </c>
      <c r="K48" s="120">
        <v>92</v>
      </c>
      <c r="L48" s="690">
        <v>10</v>
      </c>
      <c r="M48" s="690">
        <v>49</v>
      </c>
      <c r="N48" s="690">
        <v>73</v>
      </c>
      <c r="O48" s="690">
        <v>106</v>
      </c>
      <c r="P48" s="690">
        <v>46</v>
      </c>
      <c r="Q48" s="691">
        <v>24</v>
      </c>
      <c r="R48" s="822"/>
      <c r="S48" s="822"/>
      <c r="T48" s="822"/>
      <c r="U48" s="822"/>
    </row>
    <row r="49" spans="18:23">
      <c r="R49" s="119"/>
      <c r="S49" s="119"/>
      <c r="T49" s="119"/>
      <c r="U49" s="119"/>
      <c r="W49" s="98"/>
    </row>
    <row r="50" spans="18:23">
      <c r="R50" s="119"/>
      <c r="S50" s="119"/>
      <c r="T50" s="119"/>
      <c r="U50" s="119"/>
    </row>
    <row r="64" spans="18:23" ht="15.75" thickBot="1"/>
    <row r="65" spans="2:35" ht="18" thickBot="1">
      <c r="B65" s="44" t="s">
        <v>25</v>
      </c>
      <c r="C65" s="45"/>
      <c r="D65" s="46"/>
      <c r="AB65" s="829" t="s">
        <v>30</v>
      </c>
      <c r="AC65" s="830"/>
      <c r="AD65" s="830"/>
      <c r="AE65" s="830"/>
      <c r="AF65" s="831"/>
    </row>
    <row r="66" spans="2:35">
      <c r="B66" s="43" t="s">
        <v>9</v>
      </c>
      <c r="C66" s="40">
        <v>2005</v>
      </c>
      <c r="D66" s="40">
        <v>2006</v>
      </c>
      <c r="E66" s="40">
        <v>2007</v>
      </c>
      <c r="F66" s="40">
        <v>2008</v>
      </c>
      <c r="G66" s="40">
        <v>2009</v>
      </c>
      <c r="H66" s="40">
        <v>2010</v>
      </c>
      <c r="I66" s="40">
        <v>2011</v>
      </c>
      <c r="J66" s="40">
        <v>2012</v>
      </c>
      <c r="K66" s="50">
        <v>2013</v>
      </c>
      <c r="L66" s="40">
        <v>2014</v>
      </c>
      <c r="M66" s="40">
        <v>2015</v>
      </c>
      <c r="N66" s="40">
        <v>2016</v>
      </c>
      <c r="O66" s="40">
        <v>2017</v>
      </c>
      <c r="P66" s="40">
        <v>2018</v>
      </c>
      <c r="Q66" s="41">
        <v>2019</v>
      </c>
      <c r="R66" s="832" t="s">
        <v>27</v>
      </c>
      <c r="S66" s="833"/>
      <c r="T66" s="833"/>
      <c r="U66" s="834"/>
      <c r="AB66" s="835" t="s">
        <v>9</v>
      </c>
      <c r="AC66" s="836"/>
      <c r="AD66" s="40">
        <v>2015</v>
      </c>
      <c r="AE66" s="40">
        <v>2016</v>
      </c>
      <c r="AF66" s="40">
        <v>2017</v>
      </c>
      <c r="AG66" s="40">
        <v>2018</v>
      </c>
      <c r="AH66" s="40">
        <v>2019</v>
      </c>
      <c r="AI66" s="40">
        <v>2020</v>
      </c>
    </row>
    <row r="67" spans="2:35" ht="30.75" thickBot="1">
      <c r="B67" s="42" t="s">
        <v>40</v>
      </c>
      <c r="C67" s="688">
        <v>333934</v>
      </c>
      <c r="D67" s="689">
        <v>338056</v>
      </c>
      <c r="E67" s="689">
        <v>339240</v>
      </c>
      <c r="F67" s="689">
        <v>344820</v>
      </c>
      <c r="G67" s="689">
        <v>352841</v>
      </c>
      <c r="H67" s="689">
        <v>360198</v>
      </c>
      <c r="I67" s="689">
        <v>363498</v>
      </c>
      <c r="J67" s="689">
        <v>365890</v>
      </c>
      <c r="K67" s="689">
        <v>371679</v>
      </c>
      <c r="L67" s="685">
        <v>372656</v>
      </c>
      <c r="M67" s="686">
        <v>375271</v>
      </c>
      <c r="N67" s="686">
        <v>379958</v>
      </c>
      <c r="O67" s="686">
        <v>386716</v>
      </c>
      <c r="P67" s="686">
        <v>390805</v>
      </c>
      <c r="Q67" s="687" t="s">
        <v>592</v>
      </c>
      <c r="R67" s="826">
        <f>(P67/L67)^(1/4)-1</f>
        <v>1.1959189088503797E-2</v>
      </c>
      <c r="S67" s="827"/>
      <c r="T67" s="827"/>
      <c r="U67" s="828"/>
      <c r="AB67" s="837" t="s">
        <v>39</v>
      </c>
      <c r="AC67" s="838"/>
      <c r="AD67" s="53">
        <f>INT(L67*(1+R67))</f>
        <v>377112</v>
      </c>
      <c r="AE67" s="53">
        <f>INT(AD67*(1+R67))</f>
        <v>381621</v>
      </c>
      <c r="AF67" s="53">
        <f>INT(AE67*(1+R67))</f>
        <v>386184</v>
      </c>
      <c r="AG67" s="53">
        <f>INT(AF67*(1+R67))</f>
        <v>390802</v>
      </c>
      <c r="AH67" s="53">
        <f>INT(AG67*(1+R67))</f>
        <v>395475</v>
      </c>
      <c r="AI67" s="53">
        <f>INT(AH67*(1+R67))</f>
        <v>400204</v>
      </c>
    </row>
    <row r="83" spans="2:35" ht="15.75" thickBot="1"/>
    <row r="84" spans="2:35" ht="18" thickBot="1">
      <c r="B84" s="44" t="s">
        <v>72</v>
      </c>
      <c r="C84" s="45"/>
      <c r="D84" s="46"/>
      <c r="AB84" s="843" t="s">
        <v>88</v>
      </c>
      <c r="AC84" s="844"/>
      <c r="AD84" s="844"/>
      <c r="AE84" s="844"/>
      <c r="AF84" s="844"/>
      <c r="AG84" s="845"/>
      <c r="AH84" s="95"/>
      <c r="AI84" s="95"/>
    </row>
    <row r="85" spans="2:35">
      <c r="B85" s="43" t="s">
        <v>9</v>
      </c>
      <c r="C85" s="40">
        <v>2005</v>
      </c>
      <c r="D85" s="40">
        <v>2006</v>
      </c>
      <c r="E85" s="40">
        <v>2007</v>
      </c>
      <c r="F85" s="40">
        <v>2008</v>
      </c>
      <c r="G85" s="40">
        <v>2009</v>
      </c>
      <c r="H85" s="40">
        <v>2010</v>
      </c>
      <c r="I85" s="40">
        <v>2011</v>
      </c>
      <c r="J85" s="40">
        <v>2012</v>
      </c>
      <c r="K85" s="40">
        <v>2013</v>
      </c>
      <c r="L85" s="40">
        <v>2014</v>
      </c>
      <c r="M85" s="40">
        <v>2015</v>
      </c>
      <c r="N85" s="40">
        <v>2016</v>
      </c>
      <c r="O85" s="40">
        <v>2017</v>
      </c>
      <c r="P85" s="40">
        <v>2018</v>
      </c>
      <c r="Q85" s="41">
        <v>2019</v>
      </c>
      <c r="R85" s="832" t="s">
        <v>27</v>
      </c>
      <c r="S85" s="833"/>
      <c r="T85" s="833"/>
      <c r="U85" s="834"/>
      <c r="AB85" s="835" t="s">
        <v>9</v>
      </c>
      <c r="AC85" s="836"/>
      <c r="AD85" s="40">
        <v>2015</v>
      </c>
      <c r="AE85" s="40">
        <v>2016</v>
      </c>
      <c r="AF85" s="40">
        <v>2017</v>
      </c>
      <c r="AG85" s="40">
        <v>2018</v>
      </c>
      <c r="AH85" s="40">
        <v>2019</v>
      </c>
      <c r="AI85" s="41">
        <v>2020</v>
      </c>
    </row>
    <row r="86" spans="2:35" ht="30.75" customHeight="1" thickBot="1">
      <c r="B86" s="42" t="s">
        <v>31</v>
      </c>
      <c r="C86" s="54">
        <f t="shared" ref="C86:L86" si="0">C67/C28</f>
        <v>71.110306643952299</v>
      </c>
      <c r="D86" s="54">
        <f t="shared" si="0"/>
        <v>70.945645330535157</v>
      </c>
      <c r="E86" s="54">
        <f t="shared" si="0"/>
        <v>71.074795725958523</v>
      </c>
      <c r="F86" s="54">
        <f t="shared" si="0"/>
        <v>70.616424329305758</v>
      </c>
      <c r="G86" s="54">
        <f t="shared" si="0"/>
        <v>71.541159772911598</v>
      </c>
      <c r="H86" s="54">
        <f t="shared" si="0"/>
        <v>72.518220253674244</v>
      </c>
      <c r="I86" s="54">
        <f t="shared" si="0"/>
        <v>72.467703349282303</v>
      </c>
      <c r="J86" s="54">
        <f t="shared" si="0"/>
        <v>72.683750496622963</v>
      </c>
      <c r="K86" s="54">
        <f t="shared" si="0"/>
        <v>72.707159624413151</v>
      </c>
      <c r="L86" s="54">
        <f t="shared" si="0"/>
        <v>72.855522971652007</v>
      </c>
      <c r="M86" s="684">
        <v>72.698760170476561</v>
      </c>
      <c r="N86" s="684">
        <v>72.691409986607994</v>
      </c>
      <c r="O86" s="684">
        <v>72.554596622889306</v>
      </c>
      <c r="P86" s="684">
        <v>72.74851079672375</v>
      </c>
      <c r="Q86" s="684" t="s">
        <v>592</v>
      </c>
      <c r="R86" s="826">
        <f>(P86/L86)^(1/4)-1</f>
        <v>-3.674092385649308E-4</v>
      </c>
      <c r="S86" s="827"/>
      <c r="T86" s="827"/>
      <c r="U86" s="828"/>
      <c r="AB86" s="837" t="s">
        <v>31</v>
      </c>
      <c r="AC86" s="838"/>
      <c r="AD86" s="96">
        <f t="shared" ref="AD86:AI86" si="1">AD67/AD28</f>
        <v>72.829663962920051</v>
      </c>
      <c r="AE86" s="96">
        <f t="shared" si="1"/>
        <v>72.814539210074415</v>
      </c>
      <c r="AF86" s="96">
        <f t="shared" si="1"/>
        <v>72.796229971724784</v>
      </c>
      <c r="AG86" s="96">
        <f t="shared" si="1"/>
        <v>72.775046554934818</v>
      </c>
      <c r="AH86" s="96">
        <f t="shared" si="1"/>
        <v>72.751103752759377</v>
      </c>
      <c r="AI86" s="97">
        <f t="shared" si="1"/>
        <v>72.7246956205706</v>
      </c>
    </row>
    <row r="102" spans="2:30" ht="15.75" thickBot="1"/>
    <row r="103" spans="2:30" ht="15.75" thickBot="1">
      <c r="B103" s="49" t="s">
        <v>26</v>
      </c>
      <c r="C103" s="46"/>
      <c r="D103" s="46"/>
      <c r="W103" s="824" t="s">
        <v>32</v>
      </c>
      <c r="X103" s="824"/>
      <c r="Y103" s="824"/>
      <c r="Z103" s="824"/>
      <c r="AA103" s="825"/>
    </row>
    <row r="104" spans="2:30">
      <c r="B104" s="43" t="s">
        <v>9</v>
      </c>
      <c r="C104" s="40">
        <v>2005</v>
      </c>
      <c r="D104" s="40">
        <v>2006</v>
      </c>
      <c r="E104" s="40">
        <v>2007</v>
      </c>
      <c r="F104" s="40">
        <v>2008</v>
      </c>
      <c r="G104" s="40">
        <v>2009</v>
      </c>
      <c r="H104" s="40">
        <v>2010</v>
      </c>
      <c r="I104" s="40">
        <v>2011</v>
      </c>
      <c r="J104" s="40">
        <v>2012</v>
      </c>
      <c r="K104" s="40">
        <v>2013</v>
      </c>
      <c r="L104" s="40">
        <v>2014</v>
      </c>
      <c r="M104" s="40">
        <v>2015</v>
      </c>
      <c r="N104" s="40">
        <v>2016</v>
      </c>
      <c r="O104" s="40">
        <v>2017</v>
      </c>
      <c r="P104" s="40">
        <v>2018</v>
      </c>
      <c r="Q104" s="41">
        <v>2019</v>
      </c>
      <c r="R104" s="832" t="s">
        <v>27</v>
      </c>
      <c r="S104" s="833"/>
      <c r="T104" s="833"/>
      <c r="U104" s="834"/>
      <c r="W104" s="835" t="s">
        <v>9</v>
      </c>
      <c r="X104" s="836"/>
      <c r="Y104" s="40">
        <v>2015</v>
      </c>
      <c r="Z104" s="40">
        <v>2016</v>
      </c>
      <c r="AA104" s="40">
        <v>2017</v>
      </c>
      <c r="AB104" s="40">
        <v>2018</v>
      </c>
      <c r="AC104" s="40">
        <v>2019</v>
      </c>
      <c r="AD104" s="40">
        <v>2020</v>
      </c>
    </row>
    <row r="105" spans="2:30" ht="30.75" customHeight="1" thickBot="1">
      <c r="B105" s="42" t="s">
        <v>33</v>
      </c>
      <c r="C105" s="692">
        <v>1504</v>
      </c>
      <c r="D105" s="692">
        <v>1485</v>
      </c>
      <c r="E105" s="692">
        <v>1471</v>
      </c>
      <c r="F105" s="692">
        <v>1507</v>
      </c>
      <c r="G105" s="692">
        <v>1459</v>
      </c>
      <c r="H105" s="692">
        <v>1521</v>
      </c>
      <c r="I105" s="692">
        <v>1526</v>
      </c>
      <c r="J105" s="692">
        <v>1545</v>
      </c>
      <c r="K105" s="692">
        <v>1502</v>
      </c>
      <c r="L105" s="692">
        <v>1472</v>
      </c>
      <c r="M105" s="692">
        <v>1459</v>
      </c>
      <c r="N105" s="692">
        <v>1484</v>
      </c>
      <c r="O105" s="692">
        <v>1589</v>
      </c>
      <c r="P105" s="692">
        <v>1679</v>
      </c>
      <c r="Q105" s="693">
        <v>1889</v>
      </c>
      <c r="R105" s="826">
        <f>(Q105/L105)^(1/5)-1</f>
        <v>5.1150326606588248E-2</v>
      </c>
      <c r="S105" s="827"/>
      <c r="T105" s="827"/>
      <c r="U105" s="828"/>
      <c r="W105" s="837" t="s">
        <v>33</v>
      </c>
      <c r="X105" s="838"/>
      <c r="Y105" s="53">
        <v>1459</v>
      </c>
      <c r="Z105" s="53">
        <f>INT(Y105*(1+R105))</f>
        <v>1533</v>
      </c>
      <c r="AA105" s="53">
        <f>INT(Z105*(1+R105))</f>
        <v>1611</v>
      </c>
      <c r="AB105" s="53">
        <f>INT(AA105*(1+R105))</f>
        <v>1693</v>
      </c>
      <c r="AC105" s="53">
        <f>INT(AB105*(1+R105))</f>
        <v>1779</v>
      </c>
      <c r="AD105" s="53">
        <f>INT(AC105*(1+R105))</f>
        <v>1869</v>
      </c>
    </row>
    <row r="109" spans="2:30">
      <c r="U109" s="99"/>
    </row>
    <row r="124" spans="18:18">
      <c r="R124" s="138"/>
    </row>
  </sheetData>
  <mergeCells count="27">
    <mergeCell ref="R104:U104"/>
    <mergeCell ref="R105:U105"/>
    <mergeCell ref="AB65:AF65"/>
    <mergeCell ref="W104:X104"/>
    <mergeCell ref="W105:X105"/>
    <mergeCell ref="AB66:AC66"/>
    <mergeCell ref="AB67:AC67"/>
    <mergeCell ref="R66:U66"/>
    <mergeCell ref="R67:U67"/>
    <mergeCell ref="R85:U85"/>
    <mergeCell ref="AB84:AG84"/>
    <mergeCell ref="AB85:AC85"/>
    <mergeCell ref="AB86:AC86"/>
    <mergeCell ref="R48:U48"/>
    <mergeCell ref="R47:U47"/>
    <mergeCell ref="W103:AA103"/>
    <mergeCell ref="R86:U86"/>
    <mergeCell ref="AB7:AF7"/>
    <mergeCell ref="AB26:AF26"/>
    <mergeCell ref="R27:U27"/>
    <mergeCell ref="AB27:AC27"/>
    <mergeCell ref="R28:U28"/>
    <mergeCell ref="R9:U9"/>
    <mergeCell ref="R8:U8"/>
    <mergeCell ref="AB28:AC28"/>
    <mergeCell ref="AB9:AC9"/>
    <mergeCell ref="AB8:AC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64" max="30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U104"/>
  <sheetViews>
    <sheetView showGridLines="0" topLeftCell="A28" zoomScale="60" zoomScaleNormal="60" workbookViewId="0">
      <selection activeCell="U29" sqref="U29"/>
    </sheetView>
  </sheetViews>
  <sheetFormatPr defaultRowHeight="14.25"/>
  <cols>
    <col min="1" max="1" width="2.75" style="285" customWidth="1"/>
    <col min="2" max="2" width="59.125" style="285" customWidth="1"/>
    <col min="3" max="3" width="11.125" style="285" customWidth="1"/>
    <col min="4" max="4" width="11.625" style="285" customWidth="1"/>
    <col min="5" max="5" width="12.625" style="285" customWidth="1"/>
    <col min="6" max="6" width="9.75" style="285" customWidth="1"/>
    <col min="7" max="7" width="9.625" style="285" customWidth="1"/>
    <col min="8" max="8" width="12.625" style="285" customWidth="1"/>
    <col min="9" max="9" width="11.125" style="285" customWidth="1"/>
    <col min="10" max="10" width="12.125" style="285" customWidth="1"/>
    <col min="11" max="11" width="11.75" style="285" customWidth="1"/>
    <col min="12" max="12" width="9.375" style="285" customWidth="1"/>
    <col min="13" max="13" width="10.875" style="285" customWidth="1"/>
    <col min="14" max="14" width="12.5" style="285" customWidth="1"/>
    <col min="15" max="15" width="8.875" style="285" customWidth="1"/>
    <col min="16" max="16" width="13.5" style="285" customWidth="1"/>
    <col min="17" max="17" width="15.375" style="285" customWidth="1"/>
    <col min="18" max="18" width="16.625" style="285" customWidth="1"/>
    <col min="19" max="16384" width="9" style="285"/>
  </cols>
  <sheetData>
    <row r="2" spans="2:18" ht="15.75">
      <c r="B2" s="951" t="s">
        <v>457</v>
      </c>
      <c r="C2" s="952"/>
      <c r="D2" s="420"/>
      <c r="E2" s="420"/>
      <c r="F2" s="420"/>
      <c r="G2" s="420"/>
      <c r="H2" s="421"/>
      <c r="I2" s="421"/>
      <c r="J2" s="422"/>
      <c r="K2" s="422"/>
      <c r="L2" s="421"/>
      <c r="M2" s="421"/>
      <c r="N2" s="421"/>
      <c r="O2" s="421"/>
      <c r="P2" s="421"/>
      <c r="Q2" s="421"/>
      <c r="R2" s="421"/>
    </row>
    <row r="3" spans="2:18"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</row>
    <row r="4" spans="2:18" ht="17.25" customHeight="1" thickBot="1"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2:18" ht="33" customHeight="1" thickTop="1" thickBot="1">
      <c r="B5" s="954" t="s">
        <v>376</v>
      </c>
      <c r="C5" s="957" t="s">
        <v>494</v>
      </c>
      <c r="D5" s="958"/>
      <c r="E5" s="958"/>
      <c r="F5" s="958"/>
      <c r="G5" s="958"/>
      <c r="H5" s="958"/>
      <c r="I5" s="958"/>
      <c r="J5" s="958"/>
      <c r="K5" s="958"/>
      <c r="L5" s="958"/>
      <c r="M5" s="958"/>
      <c r="N5" s="958"/>
      <c r="O5" s="958"/>
      <c r="P5" s="958"/>
      <c r="Q5" s="958"/>
      <c r="R5" s="959"/>
    </row>
    <row r="6" spans="2:18" ht="21" customHeight="1" thickTop="1">
      <c r="B6" s="955"/>
      <c r="C6" s="937" t="s">
        <v>113</v>
      </c>
      <c r="D6" s="939" t="s">
        <v>60</v>
      </c>
      <c r="E6" s="941" t="s">
        <v>377</v>
      </c>
      <c r="F6" s="942"/>
      <c r="G6" s="942"/>
      <c r="H6" s="942"/>
      <c r="I6" s="942"/>
      <c r="J6" s="942"/>
      <c r="K6" s="942"/>
      <c r="L6" s="943"/>
      <c r="M6" s="941" t="s">
        <v>378</v>
      </c>
      <c r="N6" s="942"/>
      <c r="O6" s="942"/>
      <c r="P6" s="942"/>
      <c r="Q6" s="944"/>
      <c r="R6" s="945" t="s">
        <v>379</v>
      </c>
    </row>
    <row r="7" spans="2:18" ht="45.75" thickBot="1">
      <c r="B7" s="956"/>
      <c r="C7" s="938"/>
      <c r="D7" s="940"/>
      <c r="E7" s="424" t="s">
        <v>458</v>
      </c>
      <c r="F7" s="424" t="s">
        <v>380</v>
      </c>
      <c r="G7" s="425" t="s">
        <v>59</v>
      </c>
      <c r="H7" s="424" t="s">
        <v>81</v>
      </c>
      <c r="I7" s="424" t="s">
        <v>19</v>
      </c>
      <c r="J7" s="424" t="s">
        <v>459</v>
      </c>
      <c r="K7" s="426" t="s">
        <v>460</v>
      </c>
      <c r="L7" s="426" t="s">
        <v>461</v>
      </c>
      <c r="M7" s="425" t="s">
        <v>462</v>
      </c>
      <c r="N7" s="427" t="s">
        <v>463</v>
      </c>
      <c r="O7" s="427" t="s">
        <v>464</v>
      </c>
      <c r="P7" s="427" t="s">
        <v>465</v>
      </c>
      <c r="Q7" s="428" t="s">
        <v>466</v>
      </c>
      <c r="R7" s="946"/>
    </row>
    <row r="8" spans="2:18" ht="16.5" thickTop="1">
      <c r="B8" s="534" t="s">
        <v>467</v>
      </c>
      <c r="C8" s="947" t="s">
        <v>381</v>
      </c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947"/>
      <c r="O8" s="947"/>
      <c r="P8" s="947"/>
      <c r="Q8" s="948"/>
      <c r="R8" s="429"/>
    </row>
    <row r="9" spans="2:18">
      <c r="B9" s="535" t="s">
        <v>468</v>
      </c>
      <c r="C9" s="510">
        <f>'En. elektryczna_2020'!D10</f>
        <v>292.51</v>
      </c>
      <c r="D9" s="511">
        <f>'Ciepło sieciowe_2020'!D7*0.277</f>
        <v>842.08</v>
      </c>
      <c r="E9" s="511">
        <f>Gaz_2020!F10</f>
        <v>8956.7805555555551</v>
      </c>
      <c r="F9" s="511">
        <v>0</v>
      </c>
      <c r="G9" s="511">
        <v>0</v>
      </c>
      <c r="H9" s="511">
        <v>0</v>
      </c>
      <c r="I9" s="511">
        <v>0</v>
      </c>
      <c r="J9" s="511">
        <v>0</v>
      </c>
      <c r="K9" s="511">
        <f>'Budynki komunalne_2014'!H8</f>
        <v>180.82560000000001</v>
      </c>
      <c r="L9" s="511">
        <v>0</v>
      </c>
      <c r="M9" s="511">
        <v>0</v>
      </c>
      <c r="N9" s="511">
        <v>0</v>
      </c>
      <c r="O9" s="511">
        <v>0</v>
      </c>
      <c r="P9" s="511">
        <v>0</v>
      </c>
      <c r="Q9" s="524">
        <v>0</v>
      </c>
      <c r="R9" s="525">
        <f>SUM(C9:Q9)</f>
        <v>10272.196155555555</v>
      </c>
    </row>
    <row r="10" spans="2:18">
      <c r="B10" s="536" t="s">
        <v>469</v>
      </c>
      <c r="C10" s="510">
        <f>'En. elektryczna_2020'!D8</f>
        <v>10353.9</v>
      </c>
      <c r="D10" s="511">
        <f>'Ciepło sieciowe_2020'!D8*D48</f>
        <v>96.95</v>
      </c>
      <c r="E10" s="511">
        <f>Gaz_2020!F8</f>
        <v>10721.001404444445</v>
      </c>
      <c r="F10" s="511">
        <v>0</v>
      </c>
      <c r="G10" s="511">
        <f>'Budynku niekomunalne_2014'!H12</f>
        <v>35.600040000000007</v>
      </c>
      <c r="H10" s="511">
        <v>0</v>
      </c>
      <c r="I10" s="511">
        <v>0</v>
      </c>
      <c r="J10" s="511">
        <v>0</v>
      </c>
      <c r="K10" s="511">
        <v>0</v>
      </c>
      <c r="L10" s="511">
        <v>0</v>
      </c>
      <c r="M10" s="511">
        <v>0</v>
      </c>
      <c r="N10" s="511">
        <v>0</v>
      </c>
      <c r="O10" s="511">
        <v>0</v>
      </c>
      <c r="P10" s="511">
        <v>0</v>
      </c>
      <c r="Q10" s="524">
        <v>0</v>
      </c>
      <c r="R10" s="516">
        <f>SUM(C10:Q10)</f>
        <v>21207.451444444447</v>
      </c>
    </row>
    <row r="11" spans="2:18">
      <c r="B11" s="535" t="s">
        <v>312</v>
      </c>
      <c r="C11" s="510">
        <f>'En. elektryczna_2020'!D9</f>
        <v>9189.08</v>
      </c>
      <c r="D11" s="511">
        <f>'Ciepło sieciowe_2020'!D6*D48</f>
        <v>7777.8830000000007</v>
      </c>
      <c r="E11" s="511">
        <f>Gaz_2020!F9</f>
        <v>25572.258333333335</v>
      </c>
      <c r="F11" s="511">
        <v>0</v>
      </c>
      <c r="G11" s="511">
        <f>'Ciepło_gosp. dom._2020'!H9</f>
        <v>1526.4760895793847</v>
      </c>
      <c r="H11" s="511">
        <v>0</v>
      </c>
      <c r="I11" s="511">
        <v>0</v>
      </c>
      <c r="J11" s="511">
        <v>0</v>
      </c>
      <c r="K11" s="511">
        <f>'Ciepło_gosp. dom._2020'!H7</f>
        <v>28118.790118769914</v>
      </c>
      <c r="L11" s="511">
        <v>0</v>
      </c>
      <c r="M11" s="511">
        <v>0</v>
      </c>
      <c r="N11" s="511">
        <v>0</v>
      </c>
      <c r="O11" s="511">
        <f>'Ciepło_gosp. dom._2020'!H10</f>
        <v>5398.5884287839172</v>
      </c>
      <c r="P11" s="511">
        <v>0</v>
      </c>
      <c r="Q11" s="524">
        <v>0</v>
      </c>
      <c r="R11" s="516">
        <f>SUM(C11:Q11)</f>
        <v>77583.075970466554</v>
      </c>
    </row>
    <row r="12" spans="2:18">
      <c r="B12" s="535" t="s">
        <v>389</v>
      </c>
      <c r="C12" s="510">
        <f>'En. elektryczna_2020'!D11</f>
        <v>1282</v>
      </c>
      <c r="D12" s="511">
        <v>0</v>
      </c>
      <c r="E12" s="511">
        <v>0</v>
      </c>
      <c r="F12" s="511">
        <v>0</v>
      </c>
      <c r="G12" s="511">
        <v>0</v>
      </c>
      <c r="H12" s="511">
        <v>0</v>
      </c>
      <c r="I12" s="511">
        <v>0</v>
      </c>
      <c r="J12" s="511">
        <v>0</v>
      </c>
      <c r="K12" s="511">
        <v>0</v>
      </c>
      <c r="L12" s="511">
        <v>0</v>
      </c>
      <c r="M12" s="511">
        <v>0</v>
      </c>
      <c r="N12" s="511">
        <v>0</v>
      </c>
      <c r="O12" s="511">
        <v>0</v>
      </c>
      <c r="P12" s="511">
        <v>0</v>
      </c>
      <c r="Q12" s="524">
        <v>0</v>
      </c>
      <c r="R12" s="516">
        <f>SUM(C12:Q12)</f>
        <v>1282</v>
      </c>
    </row>
    <row r="13" spans="2:18" ht="29.25" thickBot="1">
      <c r="B13" s="537" t="s">
        <v>470</v>
      </c>
      <c r="C13" s="526">
        <f>'En. elektryczna_2020'!D7</f>
        <v>5153.6499999999996</v>
      </c>
      <c r="D13" s="513">
        <v>0</v>
      </c>
      <c r="E13" s="514">
        <f>Gaz_2020!F7</f>
        <v>528.81909222222214</v>
      </c>
      <c r="F13" s="514">
        <v>0</v>
      </c>
      <c r="G13" s="514">
        <v>0</v>
      </c>
      <c r="H13" s="511">
        <v>0</v>
      </c>
      <c r="I13" s="511">
        <v>0</v>
      </c>
      <c r="J13" s="514">
        <v>0</v>
      </c>
      <c r="K13" s="526">
        <v>0</v>
      </c>
      <c r="L13" s="511">
        <v>0</v>
      </c>
      <c r="M13" s="511">
        <v>0</v>
      </c>
      <c r="N13" s="511">
        <v>0</v>
      </c>
      <c r="O13" s="511">
        <v>0</v>
      </c>
      <c r="P13" s="513">
        <v>0</v>
      </c>
      <c r="Q13" s="527">
        <v>0</v>
      </c>
      <c r="R13" s="528">
        <f>SUM(C13:Q13)</f>
        <v>5682.4690922222217</v>
      </c>
    </row>
    <row r="14" spans="2:18" ht="15.75" thickBot="1">
      <c r="B14" s="538" t="s">
        <v>471</v>
      </c>
      <c r="C14" s="532">
        <f t="shared" ref="C14:R14" si="0">SUM(C9:C13)</f>
        <v>26271.14</v>
      </c>
      <c r="D14" s="515">
        <f>SUM(D9:D13)</f>
        <v>8716.9130000000005</v>
      </c>
      <c r="E14" s="515">
        <f t="shared" si="0"/>
        <v>45778.859385555559</v>
      </c>
      <c r="F14" s="515">
        <f t="shared" si="0"/>
        <v>0</v>
      </c>
      <c r="G14" s="515">
        <f t="shared" si="0"/>
        <v>1562.0761295793848</v>
      </c>
      <c r="H14" s="515">
        <f t="shared" si="0"/>
        <v>0</v>
      </c>
      <c r="I14" s="515">
        <f t="shared" si="0"/>
        <v>0</v>
      </c>
      <c r="J14" s="515">
        <f t="shared" si="0"/>
        <v>0</v>
      </c>
      <c r="K14" s="515">
        <f t="shared" si="0"/>
        <v>28299.615718769914</v>
      </c>
      <c r="L14" s="515">
        <f t="shared" si="0"/>
        <v>0</v>
      </c>
      <c r="M14" s="515">
        <f t="shared" si="0"/>
        <v>0</v>
      </c>
      <c r="N14" s="515">
        <f t="shared" si="0"/>
        <v>0</v>
      </c>
      <c r="O14" s="515">
        <f t="shared" si="0"/>
        <v>5398.5884287839172</v>
      </c>
      <c r="P14" s="515">
        <f t="shared" si="0"/>
        <v>0</v>
      </c>
      <c r="Q14" s="515">
        <f t="shared" si="0"/>
        <v>0</v>
      </c>
      <c r="R14" s="515">
        <f t="shared" si="0"/>
        <v>116027.19266268879</v>
      </c>
    </row>
    <row r="15" spans="2:18" ht="15.75">
      <c r="B15" s="539" t="s">
        <v>384</v>
      </c>
      <c r="C15" s="949"/>
      <c r="D15" s="949"/>
      <c r="E15" s="949"/>
      <c r="F15" s="949"/>
      <c r="G15" s="949"/>
      <c r="H15" s="949"/>
      <c r="I15" s="949"/>
      <c r="J15" s="949"/>
      <c r="K15" s="949"/>
      <c r="L15" s="949"/>
      <c r="M15" s="949"/>
      <c r="N15" s="949"/>
      <c r="O15" s="949"/>
      <c r="P15" s="949"/>
      <c r="Q15" s="950"/>
      <c r="R15" s="529"/>
    </row>
    <row r="16" spans="2:18">
      <c r="B16" s="535" t="s">
        <v>348</v>
      </c>
      <c r="C16" s="510">
        <v>0</v>
      </c>
      <c r="D16" s="510">
        <v>0</v>
      </c>
      <c r="E16" s="510">
        <v>0</v>
      </c>
      <c r="F16" s="511">
        <f>'Tabor gminny_2020'!E49</f>
        <v>38.299475318111988</v>
      </c>
      <c r="G16" s="511">
        <v>0</v>
      </c>
      <c r="H16" s="511">
        <f>'Tabor gminny_2020'!E23</f>
        <v>616.06264827189602</v>
      </c>
      <c r="I16" s="511">
        <f>'Tabor gminny_2020'!E22</f>
        <v>280.02800480255996</v>
      </c>
      <c r="J16" s="511">
        <v>0</v>
      </c>
      <c r="K16" s="511">
        <v>0</v>
      </c>
      <c r="L16" s="511">
        <v>0</v>
      </c>
      <c r="M16" s="511">
        <v>0</v>
      </c>
      <c r="N16" s="511">
        <v>0</v>
      </c>
      <c r="O16" s="511">
        <v>0</v>
      </c>
      <c r="P16" s="511">
        <v>0</v>
      </c>
      <c r="Q16" s="511">
        <v>0</v>
      </c>
      <c r="R16" s="510">
        <f>SUM(C16:Q16)</f>
        <v>934.39012839256793</v>
      </c>
    </row>
    <row r="17" spans="2:21">
      <c r="B17" s="535" t="s">
        <v>513</v>
      </c>
      <c r="C17" s="510">
        <v>0</v>
      </c>
      <c r="D17" s="510">
        <v>0</v>
      </c>
      <c r="E17" s="510">
        <v>0</v>
      </c>
      <c r="F17" s="511">
        <v>0</v>
      </c>
      <c r="G17" s="511">
        <v>0</v>
      </c>
      <c r="H17" s="511">
        <f>'Transport kom. autobusy_2020'!F14</f>
        <v>123.12312226200002</v>
      </c>
      <c r="I17" s="511">
        <f>'Transport kom. autobusy_2020'!L3</f>
        <v>0</v>
      </c>
      <c r="J17" s="511">
        <v>0</v>
      </c>
      <c r="K17" s="511">
        <v>0</v>
      </c>
      <c r="L17" s="511">
        <v>0</v>
      </c>
      <c r="M17" s="511">
        <v>0</v>
      </c>
      <c r="N17" s="511">
        <v>0</v>
      </c>
      <c r="O17" s="511">
        <v>0</v>
      </c>
      <c r="P17" s="511">
        <v>0</v>
      </c>
      <c r="Q17" s="511">
        <v>0</v>
      </c>
      <c r="R17" s="510">
        <f>SUM(C17:Q17)</f>
        <v>123.12312226200002</v>
      </c>
    </row>
    <row r="18" spans="2:21">
      <c r="B18" s="535" t="s">
        <v>356</v>
      </c>
      <c r="C18" s="510">
        <v>0</v>
      </c>
      <c r="D18" s="510">
        <v>0</v>
      </c>
      <c r="E18" s="510">
        <v>0</v>
      </c>
      <c r="F18" s="511">
        <f>'Transport prywatny_2020'!F18</f>
        <v>401.85127194248054</v>
      </c>
      <c r="G18" s="511">
        <v>0</v>
      </c>
      <c r="H18" s="511">
        <f>'Transport prywatny_2020'!F17</f>
        <v>31251.937539805833</v>
      </c>
      <c r="I18" s="511">
        <f>'Transport prywatny_2020'!F16</f>
        <v>7048.8504527339528</v>
      </c>
      <c r="J18" s="511">
        <v>0</v>
      </c>
      <c r="K18" s="511">
        <v>0</v>
      </c>
      <c r="L18" s="511">
        <v>0</v>
      </c>
      <c r="M18" s="511">
        <v>0</v>
      </c>
      <c r="N18" s="511">
        <v>0</v>
      </c>
      <c r="O18" s="511">
        <v>0</v>
      </c>
      <c r="P18" s="511">
        <v>0</v>
      </c>
      <c r="Q18" s="511">
        <v>0</v>
      </c>
      <c r="R18" s="510">
        <f>SUM(C18:Q18)</f>
        <v>38702.639264482263</v>
      </c>
    </row>
    <row r="19" spans="2:21">
      <c r="B19" s="535" t="s">
        <v>591</v>
      </c>
      <c r="C19" s="510">
        <v>0</v>
      </c>
      <c r="D19" s="510">
        <v>0</v>
      </c>
      <c r="E19" s="510">
        <v>0</v>
      </c>
      <c r="F19" s="511">
        <v>0</v>
      </c>
      <c r="G19" s="511">
        <v>0</v>
      </c>
      <c r="H19" s="511">
        <v>0</v>
      </c>
      <c r="I19" s="511">
        <v>0</v>
      </c>
      <c r="J19" s="511">
        <v>0</v>
      </c>
      <c r="K19" s="511">
        <v>0</v>
      </c>
      <c r="L19" s="511">
        <v>0</v>
      </c>
      <c r="M19" s="511">
        <v>0</v>
      </c>
      <c r="N19" s="511">
        <v>0</v>
      </c>
      <c r="O19" s="511">
        <v>0</v>
      </c>
      <c r="P19" s="511">
        <v>0</v>
      </c>
      <c r="Q19" s="511">
        <v>0</v>
      </c>
      <c r="R19" s="510">
        <v>0</v>
      </c>
    </row>
    <row r="20" spans="2:21">
      <c r="B20" s="535" t="s">
        <v>357</v>
      </c>
      <c r="C20" s="510">
        <v>0</v>
      </c>
      <c r="D20" s="510">
        <v>0</v>
      </c>
      <c r="E20" s="510">
        <v>0</v>
      </c>
      <c r="F20" s="511">
        <f>'Transport komercyjny_2020'!F18</f>
        <v>0</v>
      </c>
      <c r="G20" s="511">
        <v>0</v>
      </c>
      <c r="H20" s="511">
        <f>'Transport komercyjny_2020'!F17</f>
        <v>7135.8157159778957</v>
      </c>
      <c r="I20" s="511">
        <f>'Transport komercyjny_2020'!F16</f>
        <v>3174.333608506061</v>
      </c>
      <c r="J20" s="511">
        <v>0</v>
      </c>
      <c r="K20" s="511">
        <v>0</v>
      </c>
      <c r="L20" s="511">
        <v>0</v>
      </c>
      <c r="M20" s="511">
        <v>0</v>
      </c>
      <c r="N20" s="511">
        <v>0</v>
      </c>
      <c r="O20" s="511">
        <v>0</v>
      </c>
      <c r="P20" s="511">
        <v>0</v>
      </c>
      <c r="Q20" s="511">
        <v>0</v>
      </c>
      <c r="R20" s="510">
        <f>SUM(C20:Q20)</f>
        <v>10310.149324483957</v>
      </c>
    </row>
    <row r="21" spans="2:21" ht="15.75" thickBot="1">
      <c r="B21" s="540" t="s">
        <v>472</v>
      </c>
      <c r="C21" s="517">
        <f t="shared" ref="C21:R21" si="1">SUM(C16:C20)</f>
        <v>0</v>
      </c>
      <c r="D21" s="530">
        <f t="shared" si="1"/>
        <v>0</v>
      </c>
      <c r="E21" s="530">
        <f t="shared" si="1"/>
        <v>0</v>
      </c>
      <c r="F21" s="530">
        <f t="shared" si="1"/>
        <v>440.15074726059254</v>
      </c>
      <c r="G21" s="530">
        <f t="shared" si="1"/>
        <v>0</v>
      </c>
      <c r="H21" s="530">
        <f t="shared" si="1"/>
        <v>39126.939026317625</v>
      </c>
      <c r="I21" s="530">
        <f t="shared" si="1"/>
        <v>10503.212066042573</v>
      </c>
      <c r="J21" s="530">
        <f t="shared" si="1"/>
        <v>0</v>
      </c>
      <c r="K21" s="530">
        <f t="shared" si="1"/>
        <v>0</v>
      </c>
      <c r="L21" s="530">
        <f t="shared" si="1"/>
        <v>0</v>
      </c>
      <c r="M21" s="530">
        <f t="shared" si="1"/>
        <v>0</v>
      </c>
      <c r="N21" s="530">
        <f t="shared" si="1"/>
        <v>0</v>
      </c>
      <c r="O21" s="530">
        <f t="shared" si="1"/>
        <v>0</v>
      </c>
      <c r="P21" s="530">
        <f t="shared" si="1"/>
        <v>0</v>
      </c>
      <c r="Q21" s="530">
        <f t="shared" si="1"/>
        <v>0</v>
      </c>
      <c r="R21" s="530">
        <f t="shared" si="1"/>
        <v>50070.301839620792</v>
      </c>
    </row>
    <row r="22" spans="2:21" ht="17.25" customHeight="1" thickTop="1" thickBot="1">
      <c r="B22" s="541" t="s">
        <v>379</v>
      </c>
      <c r="C22" s="533">
        <f t="shared" ref="C22:R22" si="2">C21+C14</f>
        <v>26271.14</v>
      </c>
      <c r="D22" s="531">
        <f t="shared" si="2"/>
        <v>8716.9130000000005</v>
      </c>
      <c r="E22" s="531">
        <f t="shared" si="2"/>
        <v>45778.859385555559</v>
      </c>
      <c r="F22" s="531">
        <f t="shared" si="2"/>
        <v>440.15074726059254</v>
      </c>
      <c r="G22" s="531">
        <f t="shared" si="2"/>
        <v>1562.0761295793848</v>
      </c>
      <c r="H22" s="531">
        <f t="shared" si="2"/>
        <v>39126.939026317625</v>
      </c>
      <c r="I22" s="531">
        <f t="shared" si="2"/>
        <v>10503.212066042573</v>
      </c>
      <c r="J22" s="531">
        <f t="shared" si="2"/>
        <v>0</v>
      </c>
      <c r="K22" s="531">
        <f t="shared" si="2"/>
        <v>28299.615718769914</v>
      </c>
      <c r="L22" s="531">
        <f t="shared" si="2"/>
        <v>0</v>
      </c>
      <c r="M22" s="531">
        <f t="shared" si="2"/>
        <v>0</v>
      </c>
      <c r="N22" s="531">
        <f t="shared" si="2"/>
        <v>0</v>
      </c>
      <c r="O22" s="531">
        <f t="shared" si="2"/>
        <v>5398.5884287839172</v>
      </c>
      <c r="P22" s="531">
        <f t="shared" si="2"/>
        <v>0</v>
      </c>
      <c r="Q22" s="531">
        <f t="shared" si="2"/>
        <v>0</v>
      </c>
      <c r="R22" s="531">
        <f t="shared" si="2"/>
        <v>166097.49450230959</v>
      </c>
    </row>
    <row r="23" spans="2:21" ht="14.25" customHeight="1">
      <c r="B23" s="512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</row>
    <row r="24" spans="2:21" ht="14.25" customHeight="1" thickBot="1">
      <c r="B24" s="512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</row>
    <row r="25" spans="2:21" ht="30.75" customHeight="1" thickTop="1" thickBot="1">
      <c r="B25" s="954" t="s">
        <v>376</v>
      </c>
      <c r="C25" s="957" t="s">
        <v>495</v>
      </c>
      <c r="D25" s="958"/>
      <c r="E25" s="958"/>
      <c r="F25" s="958"/>
      <c r="G25" s="958"/>
      <c r="H25" s="958"/>
      <c r="I25" s="958"/>
      <c r="J25" s="958"/>
      <c r="K25" s="958"/>
      <c r="L25" s="958"/>
      <c r="M25" s="958"/>
      <c r="N25" s="958"/>
      <c r="O25" s="958"/>
      <c r="P25" s="958"/>
      <c r="Q25" s="958"/>
      <c r="R25" s="959"/>
    </row>
    <row r="26" spans="2:21" ht="20.25" customHeight="1" thickTop="1">
      <c r="B26" s="955"/>
      <c r="C26" s="937" t="s">
        <v>113</v>
      </c>
      <c r="D26" s="939" t="s">
        <v>60</v>
      </c>
      <c r="E26" s="941" t="s">
        <v>377</v>
      </c>
      <c r="F26" s="942"/>
      <c r="G26" s="942"/>
      <c r="H26" s="942"/>
      <c r="I26" s="942"/>
      <c r="J26" s="942"/>
      <c r="K26" s="942"/>
      <c r="L26" s="943"/>
      <c r="M26" s="941" t="s">
        <v>378</v>
      </c>
      <c r="N26" s="942"/>
      <c r="O26" s="942"/>
      <c r="P26" s="942"/>
      <c r="Q26" s="944"/>
      <c r="R26" s="945" t="s">
        <v>379</v>
      </c>
    </row>
    <row r="27" spans="2:21" ht="30" customHeight="1" thickBot="1">
      <c r="B27" s="956"/>
      <c r="C27" s="938"/>
      <c r="D27" s="940"/>
      <c r="E27" s="424" t="s">
        <v>458</v>
      </c>
      <c r="F27" s="424" t="s">
        <v>380</v>
      </c>
      <c r="G27" s="425" t="s">
        <v>59</v>
      </c>
      <c r="H27" s="424" t="s">
        <v>81</v>
      </c>
      <c r="I27" s="424" t="s">
        <v>19</v>
      </c>
      <c r="J27" s="424" t="s">
        <v>459</v>
      </c>
      <c r="K27" s="426" t="s">
        <v>460</v>
      </c>
      <c r="L27" s="426" t="s">
        <v>461</v>
      </c>
      <c r="M27" s="425" t="s">
        <v>462</v>
      </c>
      <c r="N27" s="427" t="s">
        <v>463</v>
      </c>
      <c r="O27" s="427" t="s">
        <v>464</v>
      </c>
      <c r="P27" s="427" t="s">
        <v>465</v>
      </c>
      <c r="Q27" s="428" t="s">
        <v>466</v>
      </c>
      <c r="R27" s="946"/>
    </row>
    <row r="28" spans="2:21" ht="14.25" customHeight="1" thickTop="1">
      <c r="B28" s="534" t="s">
        <v>467</v>
      </c>
      <c r="C28" s="947" t="s">
        <v>381</v>
      </c>
      <c r="D28" s="947"/>
      <c r="E28" s="947"/>
      <c r="F28" s="947"/>
      <c r="G28" s="947"/>
      <c r="H28" s="947"/>
      <c r="I28" s="947"/>
      <c r="J28" s="947"/>
      <c r="K28" s="947"/>
      <c r="L28" s="947"/>
      <c r="M28" s="947"/>
      <c r="N28" s="947"/>
      <c r="O28" s="947"/>
      <c r="P28" s="947"/>
      <c r="Q28" s="948"/>
      <c r="R28" s="429"/>
    </row>
    <row r="29" spans="2:21" ht="14.25" customHeight="1">
      <c r="B29" s="535" t="s">
        <v>468</v>
      </c>
      <c r="C29" s="510">
        <f>'En. elektryczna_2020'!D19</f>
        <v>292.51</v>
      </c>
      <c r="D29" s="511">
        <f>'Ciepło sieciowe_2020'!D13*0.277</f>
        <v>842.08</v>
      </c>
      <c r="E29" s="511">
        <f>Gaz_2020!F19</f>
        <v>8956.7805555555551</v>
      </c>
      <c r="F29" s="511">
        <v>0</v>
      </c>
      <c r="G29" s="511">
        <v>0</v>
      </c>
      <c r="H29" s="511">
        <v>0</v>
      </c>
      <c r="I29" s="511">
        <v>0</v>
      </c>
      <c r="J29" s="511">
        <f>J9</f>
        <v>0</v>
      </c>
      <c r="K29" s="511">
        <f>K9</f>
        <v>180.82560000000001</v>
      </c>
      <c r="L29" s="511">
        <v>0</v>
      </c>
      <c r="M29" s="511">
        <v>0</v>
      </c>
      <c r="N29" s="511">
        <v>0</v>
      </c>
      <c r="O29" s="511">
        <v>0</v>
      </c>
      <c r="P29" s="511">
        <v>0</v>
      </c>
      <c r="Q29" s="524">
        <v>0</v>
      </c>
      <c r="R29" s="525">
        <f>SUM(C29:Q29)</f>
        <v>10272.196155555555</v>
      </c>
      <c r="U29" s="286">
        <f>R21-R41</f>
        <v>626.71446338399255</v>
      </c>
    </row>
    <row r="30" spans="2:21" ht="14.25" customHeight="1">
      <c r="B30" s="536" t="s">
        <v>469</v>
      </c>
      <c r="C30" s="510">
        <f>'En. elektryczna_2020'!D17</f>
        <v>10232.191687657431</v>
      </c>
      <c r="D30" s="511">
        <f>'Ciepło sieciowe_2020'!D14*0.277</f>
        <v>122.98800000000001</v>
      </c>
      <c r="E30" s="511">
        <f>Gaz_2020!F17</f>
        <v>10594.977878279691</v>
      </c>
      <c r="F30" s="511">
        <v>0</v>
      </c>
      <c r="G30" s="511">
        <f>G10</f>
        <v>35.600040000000007</v>
      </c>
      <c r="H30" s="511">
        <v>0</v>
      </c>
      <c r="I30" s="511">
        <v>0</v>
      </c>
      <c r="J30" s="511">
        <f>J10</f>
        <v>0</v>
      </c>
      <c r="K30" s="511">
        <v>0</v>
      </c>
      <c r="L30" s="511">
        <v>0</v>
      </c>
      <c r="M30" s="511">
        <v>0</v>
      </c>
      <c r="N30" s="511">
        <v>0</v>
      </c>
      <c r="O30" s="511">
        <v>0</v>
      </c>
      <c r="P30" s="511">
        <v>0</v>
      </c>
      <c r="Q30" s="524">
        <v>0</v>
      </c>
      <c r="R30" s="516">
        <f>SUM(C30:Q30)</f>
        <v>20985.757605937124</v>
      </c>
    </row>
    <row r="31" spans="2:21" ht="14.25" customHeight="1">
      <c r="B31" s="535" t="s">
        <v>312</v>
      </c>
      <c r="C31" s="510">
        <f>'En. elektryczna_2020'!D17</f>
        <v>10232.191687657431</v>
      </c>
      <c r="D31" s="511">
        <f>'Ciepło sieciowe_2020'!D12*0.277</f>
        <v>8352.6580000000013</v>
      </c>
      <c r="E31" s="511">
        <f>Gaz_2020!F18</f>
        <v>25271.660838231175</v>
      </c>
      <c r="F31" s="511">
        <v>0</v>
      </c>
      <c r="G31" s="511">
        <f>'Ciepło_gosp. dom._2020'!H18</f>
        <v>1639.3183980776594</v>
      </c>
      <c r="H31" s="511">
        <v>0</v>
      </c>
      <c r="I31" s="511">
        <v>0</v>
      </c>
      <c r="J31" s="511">
        <f>J11</f>
        <v>0</v>
      </c>
      <c r="K31" s="511">
        <f>'Ciepło_gosp. dom._2020'!H16</f>
        <v>30197.426797615484</v>
      </c>
      <c r="L31" s="511">
        <v>0</v>
      </c>
      <c r="M31" s="511">
        <v>0</v>
      </c>
      <c r="N31" s="511">
        <v>0</v>
      </c>
      <c r="O31" s="511">
        <f>'Ciepło_gosp. dom._2020'!H19</f>
        <v>5797.6704616403304</v>
      </c>
      <c r="P31" s="511">
        <v>0</v>
      </c>
      <c r="Q31" s="524">
        <v>0</v>
      </c>
      <c r="R31" s="516">
        <f>SUM(C31:Q31)</f>
        <v>81490.92618322208</v>
      </c>
    </row>
    <row r="32" spans="2:21" ht="14.25" customHeight="1">
      <c r="B32" s="535" t="s">
        <v>389</v>
      </c>
      <c r="C32" s="510">
        <f>'En. elektryczna_2020'!D20</f>
        <v>1282</v>
      </c>
      <c r="D32" s="511">
        <v>0</v>
      </c>
      <c r="E32" s="511">
        <v>0</v>
      </c>
      <c r="F32" s="511">
        <v>0</v>
      </c>
      <c r="G32" s="511">
        <v>0</v>
      </c>
      <c r="H32" s="511">
        <v>0</v>
      </c>
      <c r="I32" s="511">
        <v>0</v>
      </c>
      <c r="J32" s="511">
        <f>J12</f>
        <v>0</v>
      </c>
      <c r="K32" s="511">
        <v>0</v>
      </c>
      <c r="L32" s="511">
        <v>0</v>
      </c>
      <c r="M32" s="511">
        <v>0</v>
      </c>
      <c r="N32" s="511">
        <v>0</v>
      </c>
      <c r="O32" s="511">
        <v>0</v>
      </c>
      <c r="P32" s="511">
        <v>0</v>
      </c>
      <c r="Q32" s="524">
        <v>0</v>
      </c>
      <c r="R32" s="516">
        <f>SUM(C32:Q32)</f>
        <v>1282</v>
      </c>
    </row>
    <row r="33" spans="2:18" ht="14.25" customHeight="1" thickBot="1">
      <c r="B33" s="537" t="s">
        <v>470</v>
      </c>
      <c r="C33" s="526">
        <f>'En. elektryczna_2020'!D16</f>
        <v>5093.06973131822</v>
      </c>
      <c r="D33" s="513">
        <v>0</v>
      </c>
      <c r="E33" s="514">
        <f>Gaz_2020!F16</f>
        <v>522.60291481574768</v>
      </c>
      <c r="F33" s="514">
        <v>0</v>
      </c>
      <c r="G33" s="514">
        <v>0</v>
      </c>
      <c r="H33" s="511">
        <v>0</v>
      </c>
      <c r="I33" s="511">
        <v>0</v>
      </c>
      <c r="J33" s="511">
        <f>J13</f>
        <v>0</v>
      </c>
      <c r="K33" s="526">
        <v>0</v>
      </c>
      <c r="L33" s="511">
        <v>0</v>
      </c>
      <c r="M33" s="511">
        <v>0</v>
      </c>
      <c r="N33" s="511">
        <v>0</v>
      </c>
      <c r="O33" s="511">
        <v>0</v>
      </c>
      <c r="P33" s="513">
        <v>0</v>
      </c>
      <c r="Q33" s="527">
        <v>0</v>
      </c>
      <c r="R33" s="528">
        <f>SUM(C33:Q33)</f>
        <v>5615.6726461339676</v>
      </c>
    </row>
    <row r="34" spans="2:18" ht="14.25" customHeight="1" thickBot="1">
      <c r="B34" s="538" t="s">
        <v>471</v>
      </c>
      <c r="C34" s="532">
        <f t="shared" ref="C34" si="3">SUM(C29:C33)</f>
        <v>27131.96310663308</v>
      </c>
      <c r="D34" s="515">
        <f>SUM(D29:D33)</f>
        <v>9317.7260000000006</v>
      </c>
      <c r="E34" s="515">
        <f t="shared" ref="E34:R34" si="4">SUM(E29:E33)</f>
        <v>45346.022186882168</v>
      </c>
      <c r="F34" s="515">
        <f t="shared" si="4"/>
        <v>0</v>
      </c>
      <c r="G34" s="515">
        <f t="shared" si="4"/>
        <v>1674.9184380776594</v>
      </c>
      <c r="H34" s="515">
        <f t="shared" si="4"/>
        <v>0</v>
      </c>
      <c r="I34" s="515">
        <f t="shared" si="4"/>
        <v>0</v>
      </c>
      <c r="J34" s="515">
        <f t="shared" si="4"/>
        <v>0</v>
      </c>
      <c r="K34" s="515">
        <f t="shared" si="4"/>
        <v>30378.252397615484</v>
      </c>
      <c r="L34" s="515">
        <f t="shared" si="4"/>
        <v>0</v>
      </c>
      <c r="M34" s="515">
        <f t="shared" si="4"/>
        <v>0</v>
      </c>
      <c r="N34" s="515">
        <f t="shared" si="4"/>
        <v>0</v>
      </c>
      <c r="O34" s="515">
        <f t="shared" si="4"/>
        <v>5797.6704616403304</v>
      </c>
      <c r="P34" s="515">
        <f t="shared" si="4"/>
        <v>0</v>
      </c>
      <c r="Q34" s="515">
        <f t="shared" si="4"/>
        <v>0</v>
      </c>
      <c r="R34" s="515">
        <f t="shared" si="4"/>
        <v>119646.55259084873</v>
      </c>
    </row>
    <row r="35" spans="2:18" ht="14.25" customHeight="1">
      <c r="B35" s="539" t="s">
        <v>384</v>
      </c>
      <c r="C35" s="949"/>
      <c r="D35" s="949"/>
      <c r="E35" s="949"/>
      <c r="F35" s="949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50"/>
      <c r="R35" s="529"/>
    </row>
    <row r="36" spans="2:18" ht="14.25" customHeight="1">
      <c r="B36" s="535" t="s">
        <v>348</v>
      </c>
      <c r="C36" s="510">
        <v>0</v>
      </c>
      <c r="D36" s="510">
        <v>0</v>
      </c>
      <c r="E36" s="510">
        <v>0</v>
      </c>
      <c r="F36" s="511">
        <f>'Tabor gminny_2020'!E68</f>
        <v>0</v>
      </c>
      <c r="G36" s="511">
        <v>0</v>
      </c>
      <c r="H36" s="511">
        <f>'Tabor gminny_2020'!E48</f>
        <v>616.06264827189602</v>
      </c>
      <c r="I36" s="511">
        <f>'Tabor gminny_2020'!E47</f>
        <v>280.02800480255996</v>
      </c>
      <c r="J36" s="511">
        <v>0</v>
      </c>
      <c r="K36" s="511">
        <v>0</v>
      </c>
      <c r="L36" s="511">
        <v>0</v>
      </c>
      <c r="M36" s="511">
        <v>0</v>
      </c>
      <c r="N36" s="511">
        <v>0</v>
      </c>
      <c r="O36" s="511">
        <v>0</v>
      </c>
      <c r="P36" s="511">
        <v>0</v>
      </c>
      <c r="Q36" s="511">
        <v>0</v>
      </c>
      <c r="R36" s="510">
        <f>SUM(C36:Q36)</f>
        <v>896.09065307445599</v>
      </c>
    </row>
    <row r="37" spans="2:18" ht="14.25" customHeight="1">
      <c r="B37" s="535" t="str">
        <f>B17</f>
        <v>Transport komercyjny autobusy</v>
      </c>
      <c r="C37" s="510">
        <v>0</v>
      </c>
      <c r="D37" s="510">
        <v>0</v>
      </c>
      <c r="E37" s="510">
        <v>0</v>
      </c>
      <c r="F37" s="511">
        <v>0</v>
      </c>
      <c r="G37" s="511">
        <v>0</v>
      </c>
      <c r="H37" s="511">
        <f>'Transport kom. autobusy_2020'!F26</f>
        <v>109.44277534400003</v>
      </c>
      <c r="I37" s="511">
        <f>'Transport kom. autobusy_2020'!F25</f>
        <v>0</v>
      </c>
      <c r="J37" s="511">
        <v>0</v>
      </c>
      <c r="K37" s="511">
        <v>0</v>
      </c>
      <c r="L37" s="511">
        <v>0</v>
      </c>
      <c r="M37" s="511">
        <v>0</v>
      </c>
      <c r="N37" s="511">
        <v>0</v>
      </c>
      <c r="O37" s="511">
        <v>0</v>
      </c>
      <c r="P37" s="511">
        <v>0</v>
      </c>
      <c r="Q37" s="511">
        <v>0</v>
      </c>
      <c r="R37" s="510">
        <f>SUM(C37:Q37)</f>
        <v>109.44277534400003</v>
      </c>
    </row>
    <row r="38" spans="2:18" ht="14.25" customHeight="1">
      <c r="B38" s="535" t="s">
        <v>356</v>
      </c>
      <c r="C38" s="510">
        <v>0</v>
      </c>
      <c r="D38" s="510">
        <v>0</v>
      </c>
      <c r="E38" s="510">
        <v>0</v>
      </c>
      <c r="F38" s="511">
        <f>'Transport prywatny_2020'!F33</f>
        <v>397.12757940915168</v>
      </c>
      <c r="G38" s="511">
        <v>0</v>
      </c>
      <c r="H38" s="511">
        <f>'Transport prywatny_2020'!F32</f>
        <v>30884.576393242201</v>
      </c>
      <c r="I38" s="511">
        <f>'Transport prywatny_2020'!F31</f>
        <v>6967.3946813654602</v>
      </c>
      <c r="J38" s="511">
        <v>0</v>
      </c>
      <c r="K38" s="511">
        <v>0</v>
      </c>
      <c r="L38" s="511">
        <v>0</v>
      </c>
      <c r="M38" s="511">
        <v>0</v>
      </c>
      <c r="N38" s="511">
        <v>0</v>
      </c>
      <c r="O38" s="511">
        <v>0</v>
      </c>
      <c r="P38" s="511">
        <v>0</v>
      </c>
      <c r="Q38" s="511">
        <v>0</v>
      </c>
      <c r="R38" s="510">
        <f>SUM(C38:Q38)</f>
        <v>38249.098654016816</v>
      </c>
    </row>
    <row r="39" spans="2:18" ht="14.25" customHeight="1">
      <c r="B39" s="535" t="str">
        <f>B19</f>
        <v>Transport publiczny</v>
      </c>
      <c r="C39" s="510">
        <v>0</v>
      </c>
      <c r="D39" s="510">
        <v>0</v>
      </c>
      <c r="E39" s="510">
        <v>0</v>
      </c>
      <c r="F39" s="511">
        <v>0</v>
      </c>
      <c r="G39" s="511">
        <v>0</v>
      </c>
      <c r="H39" s="511">
        <v>0</v>
      </c>
      <c r="I39" s="511">
        <v>0</v>
      </c>
      <c r="J39" s="511">
        <v>0</v>
      </c>
      <c r="K39" s="511">
        <v>0</v>
      </c>
      <c r="L39" s="511">
        <v>0</v>
      </c>
      <c r="M39" s="511">
        <v>0</v>
      </c>
      <c r="N39" s="511">
        <v>0</v>
      </c>
      <c r="O39" s="511">
        <v>0</v>
      </c>
      <c r="P39" s="511">
        <v>0</v>
      </c>
      <c r="Q39" s="511">
        <v>0</v>
      </c>
      <c r="R39" s="510">
        <v>0</v>
      </c>
    </row>
    <row r="40" spans="2:18" ht="14.25" customHeight="1">
      <c r="B40" s="535" t="s">
        <v>357</v>
      </c>
      <c r="C40" s="510">
        <v>0</v>
      </c>
      <c r="D40" s="510">
        <v>0</v>
      </c>
      <c r="E40" s="510">
        <v>0</v>
      </c>
      <c r="F40" s="511">
        <f>'Transport komercyjny_2020'!F33</f>
        <v>0</v>
      </c>
      <c r="G40" s="511">
        <v>0</v>
      </c>
      <c r="H40" s="511">
        <f>'Transport komercyjny_2020'!F32</f>
        <v>7051.9354304836133</v>
      </c>
      <c r="I40" s="511">
        <f>'Transport komercyjny_2020'!F31</f>
        <v>3137.019863317912</v>
      </c>
      <c r="J40" s="511">
        <v>0</v>
      </c>
      <c r="K40" s="511">
        <v>0</v>
      </c>
      <c r="L40" s="511">
        <v>0</v>
      </c>
      <c r="M40" s="511">
        <v>0</v>
      </c>
      <c r="N40" s="511">
        <v>0</v>
      </c>
      <c r="O40" s="511">
        <v>0</v>
      </c>
      <c r="P40" s="511">
        <v>0</v>
      </c>
      <c r="Q40" s="511">
        <v>0</v>
      </c>
      <c r="R40" s="510">
        <f>SUM(C40:Q40)</f>
        <v>10188.955293801526</v>
      </c>
    </row>
    <row r="41" spans="2:18" ht="14.25" customHeight="1" thickBot="1">
      <c r="B41" s="540" t="s">
        <v>472</v>
      </c>
      <c r="C41" s="517">
        <f t="shared" ref="C41:R41" si="5">SUM(C36:C40)</f>
        <v>0</v>
      </c>
      <c r="D41" s="530">
        <f t="shared" si="5"/>
        <v>0</v>
      </c>
      <c r="E41" s="530">
        <f t="shared" si="5"/>
        <v>0</v>
      </c>
      <c r="F41" s="530">
        <f t="shared" si="5"/>
        <v>397.12757940915168</v>
      </c>
      <c r="G41" s="530">
        <f t="shared" si="5"/>
        <v>0</v>
      </c>
      <c r="H41" s="530">
        <f t="shared" si="5"/>
        <v>38662.017247341711</v>
      </c>
      <c r="I41" s="530">
        <f t="shared" si="5"/>
        <v>10384.442549485932</v>
      </c>
      <c r="J41" s="530">
        <f t="shared" si="5"/>
        <v>0</v>
      </c>
      <c r="K41" s="530">
        <f>SUM(K36:K40)</f>
        <v>0</v>
      </c>
      <c r="L41" s="530">
        <f t="shared" si="5"/>
        <v>0</v>
      </c>
      <c r="M41" s="530">
        <f t="shared" si="5"/>
        <v>0</v>
      </c>
      <c r="N41" s="530">
        <f t="shared" si="5"/>
        <v>0</v>
      </c>
      <c r="O41" s="530">
        <f t="shared" si="5"/>
        <v>0</v>
      </c>
      <c r="P41" s="530">
        <f t="shared" si="5"/>
        <v>0</v>
      </c>
      <c r="Q41" s="530">
        <f t="shared" si="5"/>
        <v>0</v>
      </c>
      <c r="R41" s="530">
        <f t="shared" si="5"/>
        <v>49443.587376236799</v>
      </c>
    </row>
    <row r="42" spans="2:18" ht="14.25" customHeight="1" thickTop="1" thickBot="1">
      <c r="B42" s="541" t="s">
        <v>379</v>
      </c>
      <c r="C42" s="533">
        <f>C41+C34</f>
        <v>27131.96310663308</v>
      </c>
      <c r="D42" s="531">
        <f t="shared" ref="D42:R42" si="6">D41+D34</f>
        <v>9317.7260000000006</v>
      </c>
      <c r="E42" s="531">
        <f t="shared" si="6"/>
        <v>45346.022186882168</v>
      </c>
      <c r="F42" s="531">
        <f t="shared" si="6"/>
        <v>397.12757940915168</v>
      </c>
      <c r="G42" s="531">
        <f t="shared" si="6"/>
        <v>1674.9184380776594</v>
      </c>
      <c r="H42" s="531">
        <f t="shared" si="6"/>
        <v>38662.017247341711</v>
      </c>
      <c r="I42" s="531">
        <f t="shared" si="6"/>
        <v>10384.442549485932</v>
      </c>
      <c r="J42" s="531">
        <f t="shared" si="6"/>
        <v>0</v>
      </c>
      <c r="K42" s="531">
        <f t="shared" si="6"/>
        <v>30378.252397615484</v>
      </c>
      <c r="L42" s="531">
        <f t="shared" si="6"/>
        <v>0</v>
      </c>
      <c r="M42" s="531">
        <f t="shared" si="6"/>
        <v>0</v>
      </c>
      <c r="N42" s="531">
        <f t="shared" si="6"/>
        <v>0</v>
      </c>
      <c r="O42" s="531">
        <f t="shared" si="6"/>
        <v>5797.6704616403304</v>
      </c>
      <c r="P42" s="531">
        <f t="shared" si="6"/>
        <v>0</v>
      </c>
      <c r="Q42" s="531">
        <f t="shared" si="6"/>
        <v>0</v>
      </c>
      <c r="R42" s="531">
        <f t="shared" si="6"/>
        <v>169090.13996708553</v>
      </c>
    </row>
    <row r="43" spans="2:18" ht="14.25" customHeight="1">
      <c r="B43" s="512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</row>
    <row r="44" spans="2:18" ht="14.25" customHeight="1">
      <c r="B44" s="512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670">
        <f>O22-O42</f>
        <v>-399.08203285641321</v>
      </c>
      <c r="P44" s="431"/>
      <c r="Q44" s="431"/>
      <c r="R44" s="431"/>
    </row>
    <row r="45" spans="2:18" ht="14.25" customHeight="1" thickBot="1">
      <c r="B45" s="512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670"/>
      <c r="Q45" s="431"/>
      <c r="R45" s="431"/>
    </row>
    <row r="46" spans="2:18" ht="14.25" customHeight="1" thickBot="1">
      <c r="B46" s="512"/>
      <c r="C46" s="854" t="s">
        <v>211</v>
      </c>
      <c r="D46" s="855"/>
      <c r="E46" s="856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</row>
    <row r="47" spans="2:18" ht="14.25" customHeight="1" thickBot="1">
      <c r="B47" s="512"/>
      <c r="C47" s="623" t="s">
        <v>212</v>
      </c>
      <c r="D47" s="626">
        <v>3.6</v>
      </c>
      <c r="E47" s="624" t="s">
        <v>207</v>
      </c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</row>
    <row r="48" spans="2:18" ht="14.25" customHeight="1" thickBot="1">
      <c r="B48" s="512"/>
      <c r="C48" s="634" t="s">
        <v>213</v>
      </c>
      <c r="D48" s="627">
        <v>0.27700000000000002</v>
      </c>
      <c r="E48" s="625" t="s">
        <v>214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</row>
    <row r="49" spans="2:18" ht="14.25" customHeight="1">
      <c r="B49" s="512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</row>
    <row r="50" spans="2:18" ht="14.25" customHeight="1">
      <c r="B50" s="512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</row>
    <row r="51" spans="2:18" ht="14.25" customHeight="1">
      <c r="B51" s="512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</row>
    <row r="52" spans="2:18" ht="14.25" customHeight="1">
      <c r="B52" s="512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</row>
    <row r="53" spans="2:18" ht="14.25" customHeight="1">
      <c r="B53" s="512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</row>
    <row r="54" spans="2:18" ht="14.25" customHeight="1">
      <c r="B54" s="512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</row>
    <row r="55" spans="2:18" ht="14.25" customHeight="1">
      <c r="B55" s="512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</row>
    <row r="56" spans="2:18" ht="15" customHeight="1">
      <c r="B56" s="432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</row>
    <row r="57" spans="2:18" ht="15.75" customHeight="1"/>
    <row r="61" spans="2:18" ht="17.25" customHeight="1"/>
    <row r="62" spans="2:18" ht="15.75" customHeight="1"/>
    <row r="63" spans="2:18" ht="15.75" customHeight="1"/>
    <row r="89" ht="17.25" customHeight="1"/>
    <row r="90" ht="15.75" customHeight="1"/>
    <row r="103" ht="17.25" customHeight="1"/>
    <row r="104" ht="15.75" customHeight="1"/>
  </sheetData>
  <mergeCells count="21">
    <mergeCell ref="C46:E46"/>
    <mergeCell ref="R6:R7"/>
    <mergeCell ref="C8:Q8"/>
    <mergeCell ref="C15:Q15"/>
    <mergeCell ref="B2:C2"/>
    <mergeCell ref="B3:R3"/>
    <mergeCell ref="B5:B7"/>
    <mergeCell ref="C5:R5"/>
    <mergeCell ref="C6:C7"/>
    <mergeCell ref="D6:D7"/>
    <mergeCell ref="E6:L6"/>
    <mergeCell ref="M6:Q6"/>
    <mergeCell ref="C28:Q28"/>
    <mergeCell ref="C35:Q35"/>
    <mergeCell ref="B25:B27"/>
    <mergeCell ref="C25:R25"/>
    <mergeCell ref="C26:C27"/>
    <mergeCell ref="D26:D27"/>
    <mergeCell ref="E26:L26"/>
    <mergeCell ref="M26:Q26"/>
    <mergeCell ref="R26:R27"/>
  </mergeCells>
  <pageMargins left="0.7" right="0.7" top="0.75" bottom="0.75" header="0.3" footer="0.3"/>
  <ignoredErrors>
    <ignoredError sqref="R29:R34 G30:G31 J31:K31 O31 J32:J34 E33:E34 F34:I34 K34:Q34 F36 R40:R42 F40:F42 H40:I40 C41:E42 G41:Q42 D9 K9 R9:R14 G10:G11 K11 O11 E13:E14 F14:Q14 F16 R20:R22 F20:F22 H20:I20 C21:E22 G21:Q22 D29 J29:K29 D30:E31 J30 E10:E11 C14:D14 C34:D34 H16:I18 F18 R16:R18 H36:I38 F38 R36:R38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70"/>
  <sheetViews>
    <sheetView showGridLines="0" topLeftCell="C1" zoomScale="60" zoomScaleNormal="60" workbookViewId="0">
      <selection activeCell="J54" sqref="J54"/>
    </sheetView>
  </sheetViews>
  <sheetFormatPr defaultRowHeight="14.25"/>
  <cols>
    <col min="1" max="1" width="2.75" style="285" customWidth="1"/>
    <col min="2" max="2" width="57.25" style="285" customWidth="1"/>
    <col min="3" max="3" width="14.375" style="285" customWidth="1"/>
    <col min="4" max="4" width="13.625" style="285" customWidth="1"/>
    <col min="5" max="5" width="14.375" style="285" customWidth="1"/>
    <col min="6" max="6" width="13.75" style="285" customWidth="1"/>
    <col min="7" max="7" width="13.875" style="285" customWidth="1"/>
    <col min="8" max="8" width="14" style="285" customWidth="1"/>
    <col min="9" max="9" width="13.875" style="285" customWidth="1"/>
    <col min="10" max="11" width="11.5" style="285" customWidth="1"/>
    <col min="12" max="12" width="14.375" style="285" customWidth="1"/>
    <col min="13" max="13" width="13.125" style="285" bestFit="1" customWidth="1"/>
    <col min="14" max="14" width="9" style="285"/>
    <col min="15" max="15" width="16.625" style="285" customWidth="1"/>
    <col min="16" max="16" width="15" style="285" customWidth="1"/>
    <col min="17" max="17" width="14.625" style="285" customWidth="1"/>
    <col min="18" max="18" width="15.75" style="285" customWidth="1"/>
    <col min="19" max="16384" width="9" style="285"/>
  </cols>
  <sheetData>
    <row r="1" spans="2:18" ht="15"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2:18"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</row>
    <row r="3" spans="2:18" ht="15.75">
      <c r="B3" s="434" t="s">
        <v>473</v>
      </c>
      <c r="C3" s="433"/>
      <c r="D3" s="433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</row>
    <row r="4" spans="2:18" ht="15.75" thickBot="1"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2:18" ht="17.25" thickTop="1" thickBot="1">
      <c r="B5" s="1023" t="s">
        <v>376</v>
      </c>
      <c r="C5" s="1029" t="s">
        <v>496</v>
      </c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1030"/>
    </row>
    <row r="6" spans="2:18" ht="18" customHeight="1" thickTop="1">
      <c r="B6" s="1024"/>
      <c r="C6" s="974" t="s">
        <v>113</v>
      </c>
      <c r="D6" s="976" t="s">
        <v>60</v>
      </c>
      <c r="E6" s="978" t="s">
        <v>377</v>
      </c>
      <c r="F6" s="979"/>
      <c r="G6" s="979"/>
      <c r="H6" s="979"/>
      <c r="I6" s="979"/>
      <c r="J6" s="979"/>
      <c r="K6" s="979"/>
      <c r="L6" s="980"/>
      <c r="M6" s="978" t="s">
        <v>378</v>
      </c>
      <c r="N6" s="979"/>
      <c r="O6" s="979"/>
      <c r="P6" s="979"/>
      <c r="Q6" s="981"/>
      <c r="R6" s="960" t="s">
        <v>379</v>
      </c>
    </row>
    <row r="7" spans="2:18" ht="38.25" customHeight="1" thickBot="1">
      <c r="B7" s="1025"/>
      <c r="C7" s="975"/>
      <c r="D7" s="977"/>
      <c r="E7" s="427" t="s">
        <v>458</v>
      </c>
      <c r="F7" s="427" t="s">
        <v>380</v>
      </c>
      <c r="G7" s="427" t="s">
        <v>59</v>
      </c>
      <c r="H7" s="427" t="s">
        <v>81</v>
      </c>
      <c r="I7" s="427" t="s">
        <v>19</v>
      </c>
      <c r="J7" s="427" t="s">
        <v>459</v>
      </c>
      <c r="K7" s="435" t="s">
        <v>460</v>
      </c>
      <c r="L7" s="435" t="s">
        <v>461</v>
      </c>
      <c r="M7" s="427" t="s">
        <v>463</v>
      </c>
      <c r="N7" s="427" t="s">
        <v>462</v>
      </c>
      <c r="O7" s="427" t="s">
        <v>464</v>
      </c>
      <c r="P7" s="427" t="s">
        <v>465</v>
      </c>
      <c r="Q7" s="428" t="s">
        <v>466</v>
      </c>
      <c r="R7" s="961"/>
    </row>
    <row r="8" spans="2:18" ht="14.25" customHeight="1" thickTop="1">
      <c r="B8" s="436" t="s">
        <v>467</v>
      </c>
      <c r="C8" s="437" t="s">
        <v>381</v>
      </c>
      <c r="D8" s="438"/>
      <c r="E8" s="439"/>
      <c r="F8" s="439"/>
      <c r="G8" s="439"/>
      <c r="H8" s="439"/>
      <c r="I8" s="439"/>
      <c r="J8" s="439"/>
      <c r="K8" s="439"/>
      <c r="L8" s="439"/>
      <c r="M8" s="440"/>
      <c r="N8" s="440"/>
      <c r="O8" s="439"/>
      <c r="P8" s="440"/>
      <c r="Q8" s="441"/>
      <c r="R8" s="442"/>
    </row>
    <row r="9" spans="2:18" ht="14.25" customHeight="1">
      <c r="B9" s="430" t="s">
        <v>468</v>
      </c>
      <c r="C9" s="510">
        <f>'Budynki komunalne_2014'!N6</f>
        <v>243.65511999999998</v>
      </c>
      <c r="D9" s="511">
        <f>'Ciepło sieciowe_2020'!G7</f>
        <v>273.59999999999997</v>
      </c>
      <c r="E9" s="511">
        <f>Gaz_2020!H10</f>
        <v>1799.8829662000001</v>
      </c>
      <c r="F9" s="511">
        <v>0</v>
      </c>
      <c r="G9" s="511">
        <v>0</v>
      </c>
      <c r="H9" s="511">
        <v>0</v>
      </c>
      <c r="I9" s="511">
        <v>0</v>
      </c>
      <c r="J9" s="511">
        <v>0</v>
      </c>
      <c r="K9" s="511">
        <f>'Budynki komunalne_2014'!J8</f>
        <v>61.839743999999989</v>
      </c>
      <c r="L9" s="511">
        <v>0</v>
      </c>
      <c r="M9" s="511">
        <v>0</v>
      </c>
      <c r="N9" s="511">
        <v>0</v>
      </c>
      <c r="O9" s="511">
        <v>0</v>
      </c>
      <c r="P9" s="511">
        <v>0</v>
      </c>
      <c r="Q9" s="511">
        <v>0</v>
      </c>
      <c r="R9" s="516">
        <f>SUM(C9:Q9)</f>
        <v>2378.9778302</v>
      </c>
    </row>
    <row r="10" spans="2:18" ht="14.25" customHeight="1">
      <c r="B10" s="443" t="s">
        <v>469</v>
      </c>
      <c r="C10" s="510">
        <f>'En. elektryczna_2020'!F8</f>
        <v>8407.3667999999998</v>
      </c>
      <c r="D10" s="511">
        <f>'Ciepło sieciowe_2020'!G8</f>
        <v>31.5</v>
      </c>
      <c r="E10" s="511">
        <f>Gaz_2020!H8</f>
        <v>2154.4066742259201</v>
      </c>
      <c r="F10" s="511">
        <v>0</v>
      </c>
      <c r="G10" s="511">
        <f>'Budynku niekomunalne_2014'!L12</f>
        <v>9.8433468000000008</v>
      </c>
      <c r="H10" s="511">
        <v>0</v>
      </c>
      <c r="I10" s="511">
        <v>0</v>
      </c>
      <c r="J10" s="511">
        <v>0</v>
      </c>
      <c r="K10" s="511">
        <v>0</v>
      </c>
      <c r="L10" s="511">
        <v>0</v>
      </c>
      <c r="M10" s="511">
        <v>0</v>
      </c>
      <c r="N10" s="511">
        <v>0</v>
      </c>
      <c r="O10" s="511">
        <v>0</v>
      </c>
      <c r="P10" s="511">
        <v>0</v>
      </c>
      <c r="Q10" s="511">
        <v>0</v>
      </c>
      <c r="R10" s="516">
        <f t="shared" ref="R10:R13" si="0">SUM(C10:Q10)</f>
        <v>10603.11682102592</v>
      </c>
    </row>
    <row r="11" spans="2:18" ht="14.25" customHeight="1">
      <c r="B11" s="430" t="s">
        <v>312</v>
      </c>
      <c r="C11" s="510">
        <f>'En. elektryczna_2020'!F9</f>
        <v>7461.5329600000005</v>
      </c>
      <c r="D11" s="511">
        <f>'Ciepło sieciowe_2020'!G6</f>
        <v>2527.11</v>
      </c>
      <c r="E11" s="511">
        <f>Gaz_2020!H9</f>
        <v>5138.7964566000001</v>
      </c>
      <c r="F11" s="511">
        <v>0</v>
      </c>
      <c r="G11" s="511">
        <f>'Ciepło_gosp. dom._2020'!J9</f>
        <v>422.06788339669703</v>
      </c>
      <c r="H11" s="511">
        <v>0</v>
      </c>
      <c r="I11" s="511">
        <v>0</v>
      </c>
      <c r="J11" s="511">
        <v>0</v>
      </c>
      <c r="K11" s="511">
        <f>'Ciepło_gosp. dom._2020'!J7</f>
        <v>9616.2201731085679</v>
      </c>
      <c r="L11" s="511">
        <v>0</v>
      </c>
      <c r="M11" s="511">
        <v>0</v>
      </c>
      <c r="N11" s="511">
        <v>0</v>
      </c>
      <c r="O11" s="511">
        <v>0</v>
      </c>
      <c r="P11" s="511">
        <v>0</v>
      </c>
      <c r="Q11" s="511">
        <v>0</v>
      </c>
      <c r="R11" s="516">
        <f t="shared" si="0"/>
        <v>25165.727473105268</v>
      </c>
    </row>
    <row r="12" spans="2:18" ht="30" customHeight="1">
      <c r="B12" s="430" t="s">
        <v>389</v>
      </c>
      <c r="C12" s="510">
        <f>'Oświetlenie komunalne_2020'!E7</f>
        <v>1040.9840000000002</v>
      </c>
      <c r="D12" s="511">
        <v>0</v>
      </c>
      <c r="E12" s="511">
        <v>0</v>
      </c>
      <c r="F12" s="511">
        <v>0</v>
      </c>
      <c r="G12" s="511">
        <v>0</v>
      </c>
      <c r="H12" s="511">
        <v>0</v>
      </c>
      <c r="I12" s="511">
        <v>0</v>
      </c>
      <c r="J12" s="511">
        <v>0</v>
      </c>
      <c r="K12" s="511">
        <v>0</v>
      </c>
      <c r="L12" s="511">
        <v>0</v>
      </c>
      <c r="M12" s="511">
        <v>0</v>
      </c>
      <c r="N12" s="511">
        <v>0</v>
      </c>
      <c r="O12" s="511">
        <v>0</v>
      </c>
      <c r="P12" s="511">
        <v>0</v>
      </c>
      <c r="Q12" s="511">
        <v>0</v>
      </c>
      <c r="R12" s="516">
        <f t="shared" si="0"/>
        <v>1040.9840000000002</v>
      </c>
    </row>
    <row r="13" spans="2:18" ht="14.25" customHeight="1">
      <c r="B13" s="444" t="s">
        <v>470</v>
      </c>
      <c r="C13" s="510">
        <f>'En. elektryczna_2020'!F7</f>
        <v>4184.7637999999997</v>
      </c>
      <c r="D13" s="511">
        <f>'Ciepło sieciowe_2020'!G5</f>
        <v>0</v>
      </c>
      <c r="E13" s="511">
        <f>Gaz_2020!H7</f>
        <v>106.26725422023999</v>
      </c>
      <c r="F13" s="511">
        <v>0</v>
      </c>
      <c r="G13" s="511">
        <v>0</v>
      </c>
      <c r="H13" s="511">
        <v>0</v>
      </c>
      <c r="I13" s="511">
        <v>0</v>
      </c>
      <c r="J13" s="511">
        <v>0</v>
      </c>
      <c r="K13" s="511">
        <v>0</v>
      </c>
      <c r="L13" s="511">
        <v>0</v>
      </c>
      <c r="M13" s="511">
        <v>0</v>
      </c>
      <c r="N13" s="511">
        <v>0</v>
      </c>
      <c r="O13" s="511">
        <v>0</v>
      </c>
      <c r="P13" s="511">
        <v>0</v>
      </c>
      <c r="Q13" s="511">
        <v>0</v>
      </c>
      <c r="R13" s="516">
        <f t="shared" si="0"/>
        <v>4291.0310542202396</v>
      </c>
    </row>
    <row r="14" spans="2:18" ht="30.75" customHeight="1" thickBot="1">
      <c r="B14" s="542" t="s">
        <v>471</v>
      </c>
      <c r="C14" s="517">
        <f>SUM(C9:C13)</f>
        <v>21338.302680000001</v>
      </c>
      <c r="D14" s="517">
        <f t="shared" ref="D14:R14" si="1">SUM(D9:D13)</f>
        <v>2832.21</v>
      </c>
      <c r="E14" s="517">
        <f>SUM(E9:E13)</f>
        <v>9199.3533512461599</v>
      </c>
      <c r="F14" s="517">
        <f t="shared" si="1"/>
        <v>0</v>
      </c>
      <c r="G14" s="517">
        <f t="shared" si="1"/>
        <v>431.91123019669703</v>
      </c>
      <c r="H14" s="517">
        <f t="shared" si="1"/>
        <v>0</v>
      </c>
      <c r="I14" s="517">
        <f t="shared" si="1"/>
        <v>0</v>
      </c>
      <c r="J14" s="517">
        <f t="shared" si="1"/>
        <v>0</v>
      </c>
      <c r="K14" s="517">
        <f t="shared" si="1"/>
        <v>9678.0599171085687</v>
      </c>
      <c r="L14" s="517">
        <f t="shared" si="1"/>
        <v>0</v>
      </c>
      <c r="M14" s="517">
        <f t="shared" si="1"/>
        <v>0</v>
      </c>
      <c r="N14" s="517">
        <f t="shared" si="1"/>
        <v>0</v>
      </c>
      <c r="O14" s="517">
        <f t="shared" si="1"/>
        <v>0</v>
      </c>
      <c r="P14" s="517">
        <f t="shared" si="1"/>
        <v>0</v>
      </c>
      <c r="Q14" s="543">
        <f t="shared" si="1"/>
        <v>0</v>
      </c>
      <c r="R14" s="518">
        <f t="shared" si="1"/>
        <v>43479.837178551425</v>
      </c>
    </row>
    <row r="15" spans="2:18" ht="14.25" customHeight="1">
      <c r="B15" s="436" t="s">
        <v>384</v>
      </c>
      <c r="C15" s="544"/>
      <c r="D15" s="545"/>
      <c r="E15" s="545"/>
      <c r="F15" s="545"/>
      <c r="G15" s="545"/>
      <c r="H15" s="545"/>
      <c r="I15" s="545"/>
      <c r="J15" s="545"/>
      <c r="K15" s="545"/>
      <c r="L15" s="545"/>
      <c r="M15" s="546"/>
      <c r="N15" s="546"/>
      <c r="O15" s="545"/>
      <c r="P15" s="546"/>
      <c r="Q15" s="547"/>
      <c r="R15" s="548"/>
    </row>
    <row r="16" spans="2:18" ht="14.25" customHeight="1">
      <c r="B16" s="430" t="s">
        <v>348</v>
      </c>
      <c r="C16" s="510">
        <v>0</v>
      </c>
      <c r="D16" s="510">
        <v>0</v>
      </c>
      <c r="E16" s="510">
        <v>0</v>
      </c>
      <c r="F16" s="511">
        <f>'Tabor gminny_2020'!F24</f>
        <v>8.6332824507686396</v>
      </c>
      <c r="G16" s="511">
        <v>0</v>
      </c>
      <c r="H16" s="511">
        <f>'Tabor gminny_2020'!F24</f>
        <v>8.6332824507686396</v>
      </c>
      <c r="I16" s="511">
        <f>'Tabor gminny_2020'!F22</f>
        <v>69.360005088460795</v>
      </c>
      <c r="J16" s="511">
        <v>0</v>
      </c>
      <c r="K16" s="511">
        <v>0</v>
      </c>
      <c r="L16" s="511">
        <v>0</v>
      </c>
      <c r="M16" s="511">
        <v>0</v>
      </c>
      <c r="N16" s="511">
        <v>0</v>
      </c>
      <c r="O16" s="511">
        <v>0</v>
      </c>
      <c r="P16" s="511">
        <v>0</v>
      </c>
      <c r="Q16" s="511">
        <v>0</v>
      </c>
      <c r="R16" s="516">
        <f>SUM(C16:Q16)</f>
        <v>86.626569989998075</v>
      </c>
    </row>
    <row r="17" spans="1:18" ht="14.25" customHeight="1">
      <c r="B17" s="430" t="s">
        <v>513</v>
      </c>
      <c r="C17" s="510">
        <v>0</v>
      </c>
      <c r="D17" s="510">
        <v>0</v>
      </c>
      <c r="E17" s="510">
        <v>0</v>
      </c>
      <c r="F17" s="511">
        <f>'Transport kom. autobusy_2020'!G15</f>
        <v>0</v>
      </c>
      <c r="G17" s="511">
        <v>0</v>
      </c>
      <c r="H17" s="511">
        <f>'Transport kom. autobusy_2020'!G14</f>
        <v>32.594290813980002</v>
      </c>
      <c r="I17" s="511">
        <f>'Transport kom. autobusy_2020'!G13</f>
        <v>0</v>
      </c>
      <c r="J17" s="511">
        <v>0</v>
      </c>
      <c r="K17" s="511">
        <v>0</v>
      </c>
      <c r="L17" s="511">
        <v>0</v>
      </c>
      <c r="M17" s="511">
        <v>0</v>
      </c>
      <c r="N17" s="511">
        <v>0</v>
      </c>
      <c r="O17" s="511">
        <v>0</v>
      </c>
      <c r="P17" s="511">
        <v>0</v>
      </c>
      <c r="Q17" s="511">
        <v>0</v>
      </c>
      <c r="R17" s="516">
        <f t="shared" ref="R17:R20" si="2">SUM(C17:Q17)</f>
        <v>32.594290813980002</v>
      </c>
    </row>
    <row r="18" spans="1:18" ht="14.25" customHeight="1">
      <c r="B18" s="430" t="s">
        <v>356</v>
      </c>
      <c r="C18" s="510">
        <v>0</v>
      </c>
      <c r="D18" s="510">
        <v>0</v>
      </c>
      <c r="E18" s="510">
        <v>0</v>
      </c>
      <c r="F18" s="511">
        <f>'Transport prywatny_2020'!G18</f>
        <v>90.583369747611854</v>
      </c>
      <c r="G18" s="511">
        <v>0</v>
      </c>
      <c r="H18" s="511">
        <f>'Transport prywatny_2020'!G17</f>
        <v>8273.3017321081643</v>
      </c>
      <c r="I18" s="511">
        <f>'Transport prywatny_2020'!G16</f>
        <v>1745.9264605129115</v>
      </c>
      <c r="J18" s="511">
        <v>0</v>
      </c>
      <c r="K18" s="511">
        <v>0</v>
      </c>
      <c r="L18" s="511">
        <v>0</v>
      </c>
      <c r="M18" s="511">
        <v>0</v>
      </c>
      <c r="N18" s="511">
        <v>0</v>
      </c>
      <c r="O18" s="511">
        <v>0</v>
      </c>
      <c r="P18" s="511">
        <v>0</v>
      </c>
      <c r="Q18" s="511">
        <v>0</v>
      </c>
      <c r="R18" s="516">
        <f t="shared" si="2"/>
        <v>10109.811562368688</v>
      </c>
    </row>
    <row r="19" spans="1:18" ht="14.25" customHeight="1">
      <c r="A19" s="285" t="s">
        <v>591</v>
      </c>
      <c r="B19" s="667"/>
      <c r="C19" s="510">
        <v>0</v>
      </c>
      <c r="D19" s="510">
        <v>0</v>
      </c>
      <c r="E19" s="510">
        <v>0</v>
      </c>
      <c r="F19" s="511">
        <v>0</v>
      </c>
      <c r="G19" s="511">
        <v>0</v>
      </c>
      <c r="H19" s="511">
        <v>0</v>
      </c>
      <c r="I19" s="511">
        <v>0</v>
      </c>
      <c r="J19" s="511">
        <v>0</v>
      </c>
      <c r="K19" s="511">
        <v>0</v>
      </c>
      <c r="L19" s="511">
        <v>0</v>
      </c>
      <c r="M19" s="511">
        <v>0</v>
      </c>
      <c r="N19" s="511">
        <v>0</v>
      </c>
      <c r="O19" s="511">
        <v>0</v>
      </c>
      <c r="P19" s="511">
        <v>0</v>
      </c>
      <c r="Q19" s="511">
        <v>0</v>
      </c>
      <c r="R19" s="516">
        <v>0</v>
      </c>
    </row>
    <row r="20" spans="1:18" ht="14.25" customHeight="1">
      <c r="B20" s="430" t="s">
        <v>497</v>
      </c>
      <c r="C20" s="510">
        <v>0</v>
      </c>
      <c r="D20" s="510">
        <v>0</v>
      </c>
      <c r="E20" s="510">
        <v>0</v>
      </c>
      <c r="F20" s="511">
        <f>'Transport komercyjny_2020'!G18</f>
        <v>0</v>
      </c>
      <c r="G20" s="511">
        <v>0</v>
      </c>
      <c r="H20" s="511">
        <f>'Transport komercyjny_2020'!G17</f>
        <v>1889.0590846666394</v>
      </c>
      <c r="I20" s="511">
        <f>'Transport komercyjny_2020'!G16</f>
        <v>786.24920173141084</v>
      </c>
      <c r="J20" s="511">
        <v>0</v>
      </c>
      <c r="K20" s="511">
        <v>0</v>
      </c>
      <c r="L20" s="511">
        <v>0</v>
      </c>
      <c r="M20" s="511">
        <v>0</v>
      </c>
      <c r="N20" s="511">
        <v>0</v>
      </c>
      <c r="O20" s="511">
        <v>0</v>
      </c>
      <c r="P20" s="511">
        <v>0</v>
      </c>
      <c r="Q20" s="511">
        <v>0</v>
      </c>
      <c r="R20" s="516">
        <f t="shared" si="2"/>
        <v>2675.3082863980503</v>
      </c>
    </row>
    <row r="21" spans="1:18" ht="14.25" customHeight="1" thickBot="1">
      <c r="B21" s="450" t="s">
        <v>472</v>
      </c>
      <c r="C21" s="517">
        <f t="shared" ref="C21:R21" si="3">SUM(C16:C20)</f>
        <v>0</v>
      </c>
      <c r="D21" s="517">
        <f t="shared" si="3"/>
        <v>0</v>
      </c>
      <c r="E21" s="517">
        <f t="shared" si="3"/>
        <v>0</v>
      </c>
      <c r="F21" s="517">
        <f t="shared" si="3"/>
        <v>99.216652198380501</v>
      </c>
      <c r="G21" s="517">
        <f t="shared" si="3"/>
        <v>0</v>
      </c>
      <c r="H21" s="517">
        <f t="shared" si="3"/>
        <v>10203.588390039553</v>
      </c>
      <c r="I21" s="517">
        <f t="shared" si="3"/>
        <v>2601.5356673327833</v>
      </c>
      <c r="J21" s="517">
        <f t="shared" si="3"/>
        <v>0</v>
      </c>
      <c r="K21" s="517">
        <f t="shared" si="3"/>
        <v>0</v>
      </c>
      <c r="L21" s="517">
        <f t="shared" si="3"/>
        <v>0</v>
      </c>
      <c r="M21" s="517">
        <f t="shared" si="3"/>
        <v>0</v>
      </c>
      <c r="N21" s="517">
        <f t="shared" si="3"/>
        <v>0</v>
      </c>
      <c r="O21" s="517">
        <f t="shared" si="3"/>
        <v>0</v>
      </c>
      <c r="P21" s="517">
        <f t="shared" si="3"/>
        <v>0</v>
      </c>
      <c r="Q21" s="517">
        <f t="shared" si="3"/>
        <v>0</v>
      </c>
      <c r="R21" s="517">
        <f t="shared" si="3"/>
        <v>12904.340709570717</v>
      </c>
    </row>
    <row r="22" spans="1:18" ht="14.25" customHeight="1">
      <c r="B22" s="451" t="s">
        <v>474</v>
      </c>
      <c r="C22" s="452"/>
      <c r="D22" s="446"/>
      <c r="E22" s="446"/>
      <c r="F22" s="446"/>
      <c r="G22" s="446"/>
      <c r="H22" s="446"/>
      <c r="I22" s="446"/>
      <c r="J22" s="446"/>
      <c r="K22" s="446"/>
      <c r="L22" s="446"/>
      <c r="M22" s="447"/>
      <c r="N22" s="447"/>
      <c r="O22" s="446"/>
      <c r="P22" s="447"/>
      <c r="Q22" s="448"/>
      <c r="R22" s="449"/>
    </row>
    <row r="23" spans="1:18" ht="14.25" customHeight="1">
      <c r="B23" s="453" t="s">
        <v>475</v>
      </c>
      <c r="C23" s="1000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2"/>
      <c r="R23" s="454"/>
    </row>
    <row r="24" spans="1:18" ht="14.25" customHeight="1" thickBot="1">
      <c r="B24" s="455" t="s">
        <v>476</v>
      </c>
      <c r="C24" s="1003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5"/>
      <c r="R24" s="456"/>
    </row>
    <row r="25" spans="1:18" ht="14.25" customHeight="1" thickTop="1" thickBot="1">
      <c r="B25" s="457" t="s">
        <v>379</v>
      </c>
      <c r="C25" s="521">
        <f t="shared" ref="C25:R25" si="4">C14+C21</f>
        <v>21338.302680000001</v>
      </c>
      <c r="D25" s="521">
        <f t="shared" si="4"/>
        <v>2832.21</v>
      </c>
      <c r="E25" s="521">
        <f t="shared" si="4"/>
        <v>9199.3533512461599</v>
      </c>
      <c r="F25" s="521">
        <f t="shared" si="4"/>
        <v>99.216652198380501</v>
      </c>
      <c r="G25" s="521">
        <f t="shared" si="4"/>
        <v>431.91123019669703</v>
      </c>
      <c r="H25" s="521">
        <f t="shared" si="4"/>
        <v>10203.588390039553</v>
      </c>
      <c r="I25" s="521">
        <f t="shared" si="4"/>
        <v>2601.5356673327833</v>
      </c>
      <c r="J25" s="521">
        <f t="shared" si="4"/>
        <v>0</v>
      </c>
      <c r="K25" s="521">
        <f t="shared" si="4"/>
        <v>9678.0599171085687</v>
      </c>
      <c r="L25" s="521">
        <f t="shared" si="4"/>
        <v>0</v>
      </c>
      <c r="M25" s="521">
        <f t="shared" si="4"/>
        <v>0</v>
      </c>
      <c r="N25" s="521">
        <f t="shared" si="4"/>
        <v>0</v>
      </c>
      <c r="O25" s="521">
        <f t="shared" si="4"/>
        <v>0</v>
      </c>
      <c r="P25" s="521">
        <f t="shared" si="4"/>
        <v>0</v>
      </c>
      <c r="Q25" s="522">
        <f t="shared" si="4"/>
        <v>0</v>
      </c>
      <c r="R25" s="521">
        <f t="shared" si="4"/>
        <v>56384.17788812214</v>
      </c>
    </row>
    <row r="26" spans="1:18" ht="14.25" customHeight="1" thickTop="1" thickBot="1">
      <c r="B26" s="433"/>
      <c r="C26" s="458"/>
      <c r="D26" s="458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</row>
    <row r="27" spans="1:18" ht="29.25" customHeight="1" thickTop="1" thickBot="1">
      <c r="B27" s="460" t="s">
        <v>477</v>
      </c>
      <c r="C27" s="461"/>
      <c r="D27" s="462"/>
      <c r="E27" s="462"/>
      <c r="F27" s="463"/>
      <c r="G27" s="464"/>
      <c r="H27" s="462"/>
      <c r="I27" s="462"/>
      <c r="J27" s="463"/>
      <c r="K27" s="462"/>
      <c r="L27" s="462"/>
      <c r="M27" s="462"/>
      <c r="N27" s="463"/>
      <c r="O27" s="464"/>
      <c r="P27" s="462"/>
      <c r="Q27" s="465"/>
      <c r="R27" s="459"/>
    </row>
    <row r="28" spans="1:18" ht="48.75" customHeight="1" thickTop="1" thickBot="1">
      <c r="B28" s="466" t="s">
        <v>478</v>
      </c>
      <c r="C28" s="467"/>
      <c r="D28" s="468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669"/>
    </row>
    <row r="29" spans="1:18" ht="14.25" customHeight="1" thickTop="1">
      <c r="B29" s="519"/>
      <c r="C29" s="520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59"/>
    </row>
    <row r="30" spans="1:18" ht="14.25" customHeight="1" thickBot="1">
      <c r="B30" s="519"/>
      <c r="C30" s="520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59"/>
    </row>
    <row r="31" spans="1:18" ht="21.75" customHeight="1" thickTop="1" thickBot="1">
      <c r="B31" s="1023" t="s">
        <v>376</v>
      </c>
      <c r="C31" s="1026" t="s">
        <v>498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8"/>
    </row>
    <row r="32" spans="1:18" ht="27.75" customHeight="1" thickTop="1">
      <c r="B32" s="1024"/>
      <c r="C32" s="974" t="s">
        <v>113</v>
      </c>
      <c r="D32" s="976" t="s">
        <v>60</v>
      </c>
      <c r="E32" s="978" t="s">
        <v>377</v>
      </c>
      <c r="F32" s="979"/>
      <c r="G32" s="979"/>
      <c r="H32" s="979"/>
      <c r="I32" s="979"/>
      <c r="J32" s="979"/>
      <c r="K32" s="979"/>
      <c r="L32" s="980"/>
      <c r="M32" s="978" t="s">
        <v>378</v>
      </c>
      <c r="N32" s="979"/>
      <c r="O32" s="979"/>
      <c r="P32" s="979"/>
      <c r="Q32" s="981"/>
      <c r="R32" s="960" t="s">
        <v>379</v>
      </c>
    </row>
    <row r="33" spans="1:20" ht="39" customHeight="1" thickBot="1">
      <c r="B33" s="1025"/>
      <c r="C33" s="975"/>
      <c r="D33" s="977"/>
      <c r="E33" s="427" t="s">
        <v>458</v>
      </c>
      <c r="F33" s="427" t="s">
        <v>380</v>
      </c>
      <c r="G33" s="427" t="s">
        <v>59</v>
      </c>
      <c r="H33" s="427" t="s">
        <v>81</v>
      </c>
      <c r="I33" s="427" t="s">
        <v>19</v>
      </c>
      <c r="J33" s="427" t="s">
        <v>459</v>
      </c>
      <c r="K33" s="435" t="s">
        <v>460</v>
      </c>
      <c r="L33" s="435" t="s">
        <v>461</v>
      </c>
      <c r="M33" s="427" t="s">
        <v>463</v>
      </c>
      <c r="N33" s="427" t="s">
        <v>462</v>
      </c>
      <c r="O33" s="427" t="s">
        <v>464</v>
      </c>
      <c r="P33" s="427" t="s">
        <v>465</v>
      </c>
      <c r="Q33" s="428" t="s">
        <v>466</v>
      </c>
      <c r="R33" s="961"/>
    </row>
    <row r="34" spans="1:20" ht="20.25" customHeight="1" thickTop="1">
      <c r="B34" s="436" t="s">
        <v>467</v>
      </c>
      <c r="C34" s="437" t="s">
        <v>381</v>
      </c>
      <c r="D34" s="438"/>
      <c r="E34" s="439"/>
      <c r="F34" s="439"/>
      <c r="G34" s="439"/>
      <c r="H34" s="439"/>
      <c r="I34" s="439"/>
      <c r="J34" s="439"/>
      <c r="K34" s="439"/>
      <c r="L34" s="439"/>
      <c r="M34" s="440"/>
      <c r="N34" s="440"/>
      <c r="O34" s="439"/>
      <c r="P34" s="440"/>
      <c r="Q34" s="441"/>
      <c r="R34" s="442"/>
    </row>
    <row r="35" spans="1:20" ht="20.25" customHeight="1">
      <c r="B35" s="430" t="s">
        <v>468</v>
      </c>
      <c r="C35" s="510">
        <f>'Budynki komunalne_2014'!N6</f>
        <v>243.65511999999998</v>
      </c>
      <c r="D35" s="511">
        <f>'Ciepło sieciowe_2020'!G13</f>
        <v>273.59999999999997</v>
      </c>
      <c r="E35" s="511">
        <f>Gaz_2020!H19</f>
        <v>1799.8829662000001</v>
      </c>
      <c r="F35" s="511">
        <v>0</v>
      </c>
      <c r="G35" s="511">
        <v>0</v>
      </c>
      <c r="H35" s="511">
        <v>0</v>
      </c>
      <c r="I35" s="511">
        <v>0</v>
      </c>
      <c r="J35" s="511">
        <v>0</v>
      </c>
      <c r="K35" s="511">
        <f>'Budynki komunalne_2014'!J8</f>
        <v>61.839743999999989</v>
      </c>
      <c r="L35" s="511">
        <v>0</v>
      </c>
      <c r="M35" s="511">
        <v>0</v>
      </c>
      <c r="N35" s="511">
        <v>0</v>
      </c>
      <c r="O35" s="511">
        <v>0</v>
      </c>
      <c r="P35" s="511">
        <v>0</v>
      </c>
      <c r="Q35" s="511">
        <v>0</v>
      </c>
      <c r="R35" s="516">
        <f>SUM(C35:Q35)</f>
        <v>2378.9778302</v>
      </c>
    </row>
    <row r="36" spans="1:20" ht="14.25" customHeight="1">
      <c r="B36" s="443" t="s">
        <v>469</v>
      </c>
      <c r="C36" s="510">
        <f>'En. elektryczna_2020'!F17</f>
        <v>8308.5396503778338</v>
      </c>
      <c r="D36" s="511">
        <f>'Ciepło sieciowe_2020'!G14</f>
        <v>39.96</v>
      </c>
      <c r="E36" s="511">
        <f>Gaz_2020!H17</f>
        <v>2129.0819945960602</v>
      </c>
      <c r="F36" s="511">
        <v>0</v>
      </c>
      <c r="G36" s="511">
        <f>'Budynku niekomunalne_2014'!L12</f>
        <v>9.8433468000000008</v>
      </c>
      <c r="H36" s="511">
        <v>0</v>
      </c>
      <c r="I36" s="511">
        <v>0</v>
      </c>
      <c r="J36" s="511">
        <v>0</v>
      </c>
      <c r="K36" s="511">
        <v>0</v>
      </c>
      <c r="L36" s="511">
        <v>0</v>
      </c>
      <c r="M36" s="511">
        <v>0</v>
      </c>
      <c r="N36" s="511">
        <v>0</v>
      </c>
      <c r="O36" s="511">
        <v>0</v>
      </c>
      <c r="P36" s="511">
        <v>0</v>
      </c>
      <c r="Q36" s="511">
        <v>0</v>
      </c>
      <c r="R36" s="516">
        <f t="shared" ref="R36:R39" si="5">SUM(C36:Q36)</f>
        <v>10487.424991773893</v>
      </c>
    </row>
    <row r="37" spans="1:20" ht="14.25" customHeight="1">
      <c r="B37" s="430" t="s">
        <v>312</v>
      </c>
      <c r="C37" s="510">
        <f>'En. elektryczna_2020'!F18</f>
        <v>7373.8239243660801</v>
      </c>
      <c r="D37" s="511">
        <f>'Ciepło sieciowe_2020'!G12</f>
        <v>2713.8599999999997</v>
      </c>
      <c r="E37" s="511">
        <f>Gaz_2020!H18</f>
        <v>5078.3907887642308</v>
      </c>
      <c r="F37" s="511">
        <v>0</v>
      </c>
      <c r="G37" s="511">
        <f>'Ciepło_gosp. dom._2020'!J18</f>
        <v>453.2685780099925</v>
      </c>
      <c r="H37" s="511">
        <v>0</v>
      </c>
      <c r="I37" s="511">
        <v>0</v>
      </c>
      <c r="J37" s="511">
        <v>0</v>
      </c>
      <c r="K37" s="511">
        <f>'Ciepło_gosp. dom._2020'!J16</f>
        <v>10327.083900859619</v>
      </c>
      <c r="L37" s="511">
        <v>0</v>
      </c>
      <c r="M37" s="511">
        <v>0</v>
      </c>
      <c r="N37" s="511">
        <v>0</v>
      </c>
      <c r="O37" s="511">
        <v>0</v>
      </c>
      <c r="P37" s="511">
        <v>0</v>
      </c>
      <c r="Q37" s="511">
        <v>0</v>
      </c>
      <c r="R37" s="516">
        <f t="shared" si="5"/>
        <v>25946.427191999923</v>
      </c>
    </row>
    <row r="38" spans="1:20" ht="14.25" customHeight="1">
      <c r="B38" s="430" t="s">
        <v>389</v>
      </c>
      <c r="C38" s="510">
        <f>'Oświetlenie komunalne_2020'!E13</f>
        <v>1040.9840000000002</v>
      </c>
      <c r="D38" s="511">
        <f>'Oświetlenie komunalne_2020'!E33</f>
        <v>0</v>
      </c>
      <c r="E38" s="511">
        <v>0</v>
      </c>
      <c r="F38" s="511">
        <v>0</v>
      </c>
      <c r="G38" s="511">
        <v>0</v>
      </c>
      <c r="H38" s="511">
        <v>0</v>
      </c>
      <c r="I38" s="511">
        <v>0</v>
      </c>
      <c r="J38" s="511">
        <v>0</v>
      </c>
      <c r="K38" s="511">
        <v>0</v>
      </c>
      <c r="L38" s="511">
        <v>0</v>
      </c>
      <c r="M38" s="511">
        <v>0</v>
      </c>
      <c r="N38" s="511">
        <v>0</v>
      </c>
      <c r="O38" s="511">
        <v>0</v>
      </c>
      <c r="P38" s="511">
        <v>0</v>
      </c>
      <c r="Q38" s="511">
        <v>0</v>
      </c>
      <c r="R38" s="516">
        <f t="shared" si="5"/>
        <v>1040.9840000000002</v>
      </c>
    </row>
    <row r="39" spans="1:20" ht="14.25" customHeight="1">
      <c r="B39" s="444" t="s">
        <v>470</v>
      </c>
      <c r="C39" s="510">
        <f>'En. elektryczna_2020'!F16</f>
        <v>4135.5726218303953</v>
      </c>
      <c r="D39" s="511">
        <f>'Ciepło sieciowe_2020'!G11</f>
        <v>0</v>
      </c>
      <c r="E39" s="511">
        <f>Gaz_2020!H16</f>
        <v>105.01810093805413</v>
      </c>
      <c r="F39" s="511">
        <v>0</v>
      </c>
      <c r="G39" s="511">
        <v>0</v>
      </c>
      <c r="H39" s="511">
        <v>0</v>
      </c>
      <c r="I39" s="511">
        <v>0</v>
      </c>
      <c r="J39" s="511">
        <v>0</v>
      </c>
      <c r="K39" s="511">
        <v>0</v>
      </c>
      <c r="L39" s="511">
        <v>0</v>
      </c>
      <c r="M39" s="511">
        <v>0</v>
      </c>
      <c r="N39" s="511">
        <v>0</v>
      </c>
      <c r="O39" s="511">
        <v>0</v>
      </c>
      <c r="P39" s="511">
        <v>0</v>
      </c>
      <c r="Q39" s="511">
        <v>0</v>
      </c>
      <c r="R39" s="516">
        <f t="shared" si="5"/>
        <v>4240.5907227684493</v>
      </c>
    </row>
    <row r="40" spans="1:20" ht="14.25" customHeight="1" thickBot="1">
      <c r="B40" s="445" t="s">
        <v>471</v>
      </c>
      <c r="C40" s="517">
        <f>SUM(C35:C39)</f>
        <v>21102.575316574308</v>
      </c>
      <c r="D40" s="517">
        <f t="shared" ref="D40:R40" si="6">SUM(D35:D39)</f>
        <v>3027.4199999999996</v>
      </c>
      <c r="E40" s="517">
        <f t="shared" si="6"/>
        <v>9112.3738504983448</v>
      </c>
      <c r="F40" s="517">
        <f t="shared" si="6"/>
        <v>0</v>
      </c>
      <c r="G40" s="517">
        <f t="shared" si="6"/>
        <v>463.1119248099925</v>
      </c>
      <c r="H40" s="517">
        <f t="shared" si="6"/>
        <v>0</v>
      </c>
      <c r="I40" s="517">
        <f t="shared" si="6"/>
        <v>0</v>
      </c>
      <c r="J40" s="517">
        <f t="shared" si="6"/>
        <v>0</v>
      </c>
      <c r="K40" s="517">
        <f t="shared" si="6"/>
        <v>10388.92364485962</v>
      </c>
      <c r="L40" s="517">
        <f t="shared" si="6"/>
        <v>0</v>
      </c>
      <c r="M40" s="517">
        <f t="shared" si="6"/>
        <v>0</v>
      </c>
      <c r="N40" s="517">
        <f t="shared" si="6"/>
        <v>0</v>
      </c>
      <c r="O40" s="517">
        <f t="shared" si="6"/>
        <v>0</v>
      </c>
      <c r="P40" s="517">
        <f t="shared" si="6"/>
        <v>0</v>
      </c>
      <c r="Q40" s="543">
        <f t="shared" si="6"/>
        <v>0</v>
      </c>
      <c r="R40" s="518">
        <f t="shared" si="6"/>
        <v>44094.404736742261</v>
      </c>
    </row>
    <row r="41" spans="1:20" ht="14.25" customHeight="1">
      <c r="B41" s="436" t="s">
        <v>384</v>
      </c>
      <c r="C41" s="544"/>
      <c r="D41" s="545"/>
      <c r="E41" s="545"/>
      <c r="F41" s="545"/>
      <c r="G41" s="545"/>
      <c r="H41" s="545"/>
      <c r="I41" s="545"/>
      <c r="J41" s="545"/>
      <c r="K41" s="545"/>
      <c r="L41" s="545"/>
      <c r="M41" s="546"/>
      <c r="N41" s="546"/>
      <c r="O41" s="545"/>
      <c r="P41" s="546"/>
      <c r="Q41" s="547"/>
      <c r="R41" s="548"/>
    </row>
    <row r="42" spans="1:20" ht="14.25" customHeight="1">
      <c r="B42" s="430" t="s">
        <v>348</v>
      </c>
      <c r="C42" s="510">
        <v>0</v>
      </c>
      <c r="D42" s="510">
        <v>0</v>
      </c>
      <c r="E42" s="510">
        <v>0</v>
      </c>
      <c r="F42" s="510">
        <f>'Tabor gminny_2020'!$F$49</f>
        <v>8.6332824507686396</v>
      </c>
      <c r="G42" s="511">
        <v>0</v>
      </c>
      <c r="H42" s="511">
        <f>'Tabor gminny_2020'!$F$49</f>
        <v>8.6332824507686396</v>
      </c>
      <c r="I42" s="511">
        <f>'Tabor gminny_2020'!$F$47</f>
        <v>69.360005088460795</v>
      </c>
      <c r="J42" s="511">
        <v>0</v>
      </c>
      <c r="K42" s="511">
        <v>0</v>
      </c>
      <c r="L42" s="511">
        <v>0</v>
      </c>
      <c r="M42" s="511">
        <v>0</v>
      </c>
      <c r="N42" s="511">
        <v>0</v>
      </c>
      <c r="O42" s="511">
        <v>0</v>
      </c>
      <c r="P42" s="511">
        <v>0</v>
      </c>
      <c r="Q42" s="511">
        <v>0</v>
      </c>
      <c r="R42" s="516">
        <f>SUM(C42:Q42)</f>
        <v>86.626569989998075</v>
      </c>
      <c r="T42" s="286"/>
    </row>
    <row r="43" spans="1:20" ht="14.25" customHeight="1">
      <c r="B43" s="430" t="str">
        <f>B17</f>
        <v>Transport komercyjny autobusy</v>
      </c>
      <c r="C43" s="510">
        <v>0</v>
      </c>
      <c r="D43" s="510">
        <v>0</v>
      </c>
      <c r="E43" s="510">
        <v>0</v>
      </c>
      <c r="F43" s="510">
        <f>'Transport kom. autobusy_2020'!$F$27</f>
        <v>0</v>
      </c>
      <c r="G43" s="511">
        <v>0</v>
      </c>
      <c r="H43" s="511">
        <f>'Transport kom. autobusy_2020'!$G$26</f>
        <v>28.972702945760009</v>
      </c>
      <c r="I43" s="511">
        <f>'Transport kom. autobusy_2020'!$G$25</f>
        <v>0</v>
      </c>
      <c r="J43" s="511">
        <v>0</v>
      </c>
      <c r="K43" s="511">
        <v>0</v>
      </c>
      <c r="L43" s="511">
        <v>0</v>
      </c>
      <c r="M43" s="511">
        <v>0</v>
      </c>
      <c r="N43" s="511">
        <v>0</v>
      </c>
      <c r="O43" s="511">
        <v>0</v>
      </c>
      <c r="P43" s="511">
        <v>0</v>
      </c>
      <c r="Q43" s="511">
        <v>0</v>
      </c>
      <c r="R43" s="516">
        <f t="shared" ref="R43:R46" si="7">SUM(C43:Q43)</f>
        <v>28.972702945760009</v>
      </c>
    </row>
    <row r="44" spans="1:20" ht="14.25" customHeight="1">
      <c r="B44" s="430" t="s">
        <v>356</v>
      </c>
      <c r="C44" s="510">
        <v>0</v>
      </c>
      <c r="D44" s="510">
        <v>0</v>
      </c>
      <c r="E44" s="510">
        <v>0</v>
      </c>
      <c r="F44" s="510">
        <f>'Transport prywatny_2020'!$G$33</f>
        <v>89.518577827824657</v>
      </c>
      <c r="G44" s="511">
        <v>0</v>
      </c>
      <c r="H44" s="511">
        <f>'Transport prywatny_2020'!G32</f>
        <v>8176.0504942832149</v>
      </c>
      <c r="I44" s="511">
        <f>'Transport prywatny_2020'!$G$31</f>
        <v>1725.7507187309898</v>
      </c>
      <c r="J44" s="511">
        <v>0</v>
      </c>
      <c r="K44" s="511">
        <v>0</v>
      </c>
      <c r="L44" s="511">
        <v>0</v>
      </c>
      <c r="M44" s="511">
        <v>0</v>
      </c>
      <c r="N44" s="511">
        <v>0</v>
      </c>
      <c r="O44" s="511">
        <v>0</v>
      </c>
      <c r="P44" s="511">
        <v>0</v>
      </c>
      <c r="Q44" s="511">
        <v>0</v>
      </c>
      <c r="R44" s="516">
        <f t="shared" si="7"/>
        <v>9991.3197908420298</v>
      </c>
    </row>
    <row r="45" spans="1:20" ht="14.25" customHeight="1">
      <c r="A45" s="285" t="s">
        <v>591</v>
      </c>
      <c r="B45" s="430"/>
      <c r="C45" s="510">
        <v>0</v>
      </c>
      <c r="D45" s="510">
        <v>0</v>
      </c>
      <c r="E45" s="510">
        <v>0</v>
      </c>
      <c r="F45" s="510">
        <v>0</v>
      </c>
      <c r="G45" s="511">
        <v>0</v>
      </c>
      <c r="H45" s="511">
        <v>0</v>
      </c>
      <c r="I45" s="511">
        <v>0</v>
      </c>
      <c r="J45" s="511">
        <v>0</v>
      </c>
      <c r="K45" s="511">
        <v>0</v>
      </c>
      <c r="L45" s="511">
        <v>0</v>
      </c>
      <c r="M45" s="511">
        <v>0</v>
      </c>
      <c r="N45" s="511">
        <v>0</v>
      </c>
      <c r="O45" s="511">
        <v>0</v>
      </c>
      <c r="P45" s="511">
        <v>0</v>
      </c>
      <c r="Q45" s="511">
        <v>0</v>
      </c>
      <c r="R45" s="516">
        <v>0</v>
      </c>
    </row>
    <row r="46" spans="1:20" ht="14.25" customHeight="1">
      <c r="B46" s="430" t="s">
        <v>497</v>
      </c>
      <c r="C46" s="510">
        <v>0</v>
      </c>
      <c r="D46" s="510">
        <v>0</v>
      </c>
      <c r="E46" s="510">
        <v>0</v>
      </c>
      <c r="F46" s="510">
        <f>'Transport komercyjny_2020'!$G$33</f>
        <v>0</v>
      </c>
      <c r="G46" s="511">
        <v>0</v>
      </c>
      <c r="H46" s="511">
        <f>'Transport komercyjny_2020'!$G$32</f>
        <v>1866.85352027929</v>
      </c>
      <c r="I46" s="511">
        <f>'Transport komercyjny_2020'!G16</f>
        <v>786.24920173141084</v>
      </c>
      <c r="J46" s="511">
        <v>0</v>
      </c>
      <c r="K46" s="511">
        <v>0</v>
      </c>
      <c r="L46" s="511">
        <v>0</v>
      </c>
      <c r="M46" s="511">
        <v>0</v>
      </c>
      <c r="N46" s="511">
        <v>0</v>
      </c>
      <c r="O46" s="511">
        <v>0</v>
      </c>
      <c r="P46" s="511">
        <v>0</v>
      </c>
      <c r="Q46" s="511">
        <v>0</v>
      </c>
      <c r="R46" s="516">
        <f t="shared" si="7"/>
        <v>2653.1027220107007</v>
      </c>
    </row>
    <row r="47" spans="1:20" ht="14.25" customHeight="1" thickBot="1">
      <c r="B47" s="450" t="s">
        <v>472</v>
      </c>
      <c r="C47" s="517">
        <f t="shared" ref="C47:R47" si="8">SUM(C42:C46)</f>
        <v>0</v>
      </c>
      <c r="D47" s="517">
        <f t="shared" si="8"/>
        <v>0</v>
      </c>
      <c r="E47" s="517">
        <f t="shared" si="8"/>
        <v>0</v>
      </c>
      <c r="F47" s="517">
        <f t="shared" si="8"/>
        <v>98.15186027859329</v>
      </c>
      <c r="G47" s="517">
        <f t="shared" si="8"/>
        <v>0</v>
      </c>
      <c r="H47" s="517">
        <f t="shared" si="8"/>
        <v>10080.509999959033</v>
      </c>
      <c r="I47" s="517">
        <f t="shared" si="8"/>
        <v>2581.3599255508616</v>
      </c>
      <c r="J47" s="517">
        <f t="shared" si="8"/>
        <v>0</v>
      </c>
      <c r="K47" s="517">
        <f t="shared" si="8"/>
        <v>0</v>
      </c>
      <c r="L47" s="517">
        <f t="shared" si="8"/>
        <v>0</v>
      </c>
      <c r="M47" s="517">
        <f t="shared" si="8"/>
        <v>0</v>
      </c>
      <c r="N47" s="517">
        <f t="shared" si="8"/>
        <v>0</v>
      </c>
      <c r="O47" s="517">
        <f t="shared" si="8"/>
        <v>0</v>
      </c>
      <c r="P47" s="517">
        <f t="shared" si="8"/>
        <v>0</v>
      </c>
      <c r="Q47" s="517">
        <f t="shared" si="8"/>
        <v>0</v>
      </c>
      <c r="R47" s="517">
        <f t="shared" si="8"/>
        <v>12760.021785788489</v>
      </c>
    </row>
    <row r="48" spans="1:20" ht="14.25" customHeight="1">
      <c r="B48" s="451" t="s">
        <v>474</v>
      </c>
      <c r="C48" s="549"/>
      <c r="D48" s="545"/>
      <c r="E48" s="545"/>
      <c r="F48" s="545"/>
      <c r="G48" s="545"/>
      <c r="H48" s="545"/>
      <c r="I48" s="545"/>
      <c r="J48" s="545"/>
      <c r="K48" s="545"/>
      <c r="L48" s="545"/>
      <c r="M48" s="546"/>
      <c r="N48" s="546"/>
      <c r="O48" s="545"/>
      <c r="P48" s="546"/>
      <c r="Q48" s="547"/>
      <c r="R48" s="548"/>
    </row>
    <row r="49" spans="2:18" ht="14.25" customHeight="1">
      <c r="B49" s="453" t="s">
        <v>475</v>
      </c>
      <c r="C49" s="968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70"/>
      <c r="R49" s="550"/>
    </row>
    <row r="50" spans="2:18" ht="14.25" customHeight="1" thickBot="1">
      <c r="B50" s="455" t="s">
        <v>476</v>
      </c>
      <c r="C50" s="971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  <c r="O50" s="972"/>
      <c r="P50" s="972"/>
      <c r="Q50" s="973"/>
      <c r="R50" s="551"/>
    </row>
    <row r="51" spans="2:18" ht="14.25" customHeight="1" thickTop="1" thickBot="1">
      <c r="B51" s="457" t="s">
        <v>379</v>
      </c>
      <c r="C51" s="521">
        <f t="shared" ref="C51:R51" si="9">C40+C47</f>
        <v>21102.575316574308</v>
      </c>
      <c r="D51" s="521">
        <f t="shared" si="9"/>
        <v>3027.4199999999996</v>
      </c>
      <c r="E51" s="521">
        <f t="shared" si="9"/>
        <v>9112.3738504983448</v>
      </c>
      <c r="F51" s="521">
        <f t="shared" si="9"/>
        <v>98.15186027859329</v>
      </c>
      <c r="G51" s="521">
        <f t="shared" si="9"/>
        <v>463.1119248099925</v>
      </c>
      <c r="H51" s="521">
        <f t="shared" si="9"/>
        <v>10080.509999959033</v>
      </c>
      <c r="I51" s="521">
        <f t="shared" si="9"/>
        <v>2581.3599255508616</v>
      </c>
      <c r="J51" s="521">
        <f t="shared" si="9"/>
        <v>0</v>
      </c>
      <c r="K51" s="521">
        <f t="shared" si="9"/>
        <v>10388.92364485962</v>
      </c>
      <c r="L51" s="521">
        <f t="shared" si="9"/>
        <v>0</v>
      </c>
      <c r="M51" s="521">
        <f t="shared" si="9"/>
        <v>0</v>
      </c>
      <c r="N51" s="521">
        <f t="shared" si="9"/>
        <v>0</v>
      </c>
      <c r="O51" s="521">
        <f t="shared" si="9"/>
        <v>0</v>
      </c>
      <c r="P51" s="521">
        <f t="shared" si="9"/>
        <v>0</v>
      </c>
      <c r="Q51" s="522">
        <f t="shared" si="9"/>
        <v>0</v>
      </c>
      <c r="R51" s="521">
        <f t="shared" si="9"/>
        <v>56854.426522530746</v>
      </c>
    </row>
    <row r="52" spans="2:18" ht="14.25" customHeight="1" thickTop="1" thickBot="1">
      <c r="B52" s="433"/>
      <c r="C52" s="458"/>
      <c r="D52" s="458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</row>
    <row r="53" spans="2:18" ht="25.5" customHeight="1" thickTop="1" thickBot="1">
      <c r="B53" s="523" t="s">
        <v>477</v>
      </c>
      <c r="C53" s="461"/>
      <c r="D53" s="462"/>
      <c r="E53" s="462"/>
      <c r="F53" s="463"/>
      <c r="G53" s="464"/>
      <c r="H53" s="462"/>
      <c r="I53" s="462"/>
      <c r="J53" s="463"/>
      <c r="K53" s="462"/>
      <c r="L53" s="462"/>
      <c r="M53" s="462"/>
      <c r="N53" s="463"/>
      <c r="O53" s="464"/>
      <c r="P53" s="462"/>
      <c r="Q53" s="465"/>
      <c r="R53" s="459"/>
    </row>
    <row r="54" spans="2:18" ht="46.5" customHeight="1" thickTop="1" thickBot="1">
      <c r="B54" s="466" t="s">
        <v>478</v>
      </c>
      <c r="C54" s="467"/>
      <c r="D54" s="468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59"/>
    </row>
    <row r="55" spans="2:18" ht="14.25" customHeight="1" thickTop="1">
      <c r="B55" s="519"/>
      <c r="C55" s="520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59"/>
    </row>
    <row r="56" spans="2:18" ht="14.25" customHeight="1">
      <c r="B56" s="470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</row>
    <row r="57" spans="2:18" ht="14.25" customHeight="1">
      <c r="B57" s="471" t="s">
        <v>479</v>
      </c>
      <c r="C57" s="421"/>
      <c r="D57" s="470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72"/>
      <c r="Q57" s="472"/>
      <c r="R57" s="472"/>
    </row>
    <row r="58" spans="2:18" ht="14.25" customHeight="1">
      <c r="B58" s="953"/>
      <c r="C58" s="953"/>
      <c r="D58" s="953"/>
      <c r="E58" s="953"/>
      <c r="F58" s="953"/>
      <c r="G58" s="953"/>
      <c r="H58" s="953"/>
      <c r="I58" s="953"/>
      <c r="J58" s="953"/>
      <c r="K58" s="953"/>
      <c r="L58" s="953"/>
      <c r="M58" s="953"/>
      <c r="N58" s="953"/>
      <c r="O58" s="953"/>
      <c r="P58" s="953"/>
      <c r="Q58" s="953"/>
      <c r="R58" s="473"/>
    </row>
    <row r="59" spans="2:18" ht="14.25" customHeight="1" thickBot="1">
      <c r="B59" s="423"/>
      <c r="C59" s="42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</row>
    <row r="60" spans="2:18" ht="14.25" customHeight="1" thickTop="1" thickBot="1">
      <c r="B60" s="960" t="s">
        <v>480</v>
      </c>
      <c r="C60" s="960" t="s">
        <v>481</v>
      </c>
      <c r="D60" s="1009" t="s">
        <v>482</v>
      </c>
      <c r="E60" s="1010"/>
      <c r="F60" s="1010"/>
      <c r="G60" s="1010"/>
      <c r="H60" s="1010"/>
      <c r="I60" s="1010"/>
      <c r="J60" s="1010"/>
      <c r="K60" s="1010"/>
      <c r="L60" s="1010"/>
      <c r="M60" s="1010"/>
      <c r="N60" s="1011"/>
      <c r="O60" s="1012" t="s">
        <v>483</v>
      </c>
      <c r="P60" s="1014" t="s">
        <v>484</v>
      </c>
      <c r="Q60" s="1015"/>
      <c r="R60" s="474"/>
    </row>
    <row r="61" spans="2:18" ht="14.25" customHeight="1" thickBot="1">
      <c r="B61" s="1006"/>
      <c r="C61" s="1006"/>
      <c r="D61" s="1017" t="s">
        <v>377</v>
      </c>
      <c r="E61" s="1018"/>
      <c r="F61" s="1018"/>
      <c r="G61" s="1018"/>
      <c r="H61" s="1019"/>
      <c r="I61" s="937" t="s">
        <v>485</v>
      </c>
      <c r="J61" s="937" t="s">
        <v>486</v>
      </c>
      <c r="K61" s="1020" t="s">
        <v>462</v>
      </c>
      <c r="L61" s="1020" t="s">
        <v>464</v>
      </c>
      <c r="M61" s="1020" t="s">
        <v>487</v>
      </c>
      <c r="N61" s="1021" t="s">
        <v>488</v>
      </c>
      <c r="O61" s="1013"/>
      <c r="P61" s="1016"/>
      <c r="Q61" s="1013"/>
      <c r="R61" s="474"/>
    </row>
    <row r="62" spans="2:18" ht="49.5" customHeight="1" thickBot="1">
      <c r="B62" s="1007"/>
      <c r="C62" s="1008"/>
      <c r="D62" s="475" t="s">
        <v>458</v>
      </c>
      <c r="E62" s="424" t="s">
        <v>380</v>
      </c>
      <c r="F62" s="426" t="s">
        <v>59</v>
      </c>
      <c r="G62" s="476" t="s">
        <v>459</v>
      </c>
      <c r="H62" s="477" t="s">
        <v>460</v>
      </c>
      <c r="I62" s="938"/>
      <c r="J62" s="938"/>
      <c r="K62" s="940"/>
      <c r="L62" s="940"/>
      <c r="M62" s="940"/>
      <c r="N62" s="1022"/>
      <c r="O62" s="946"/>
      <c r="P62" s="1008"/>
      <c r="Q62" s="946"/>
      <c r="R62" s="474"/>
    </row>
    <row r="63" spans="2:18" ht="14.25" customHeight="1" thickTop="1">
      <c r="B63" s="478" t="s">
        <v>489</v>
      </c>
      <c r="C63" s="479">
        <v>0</v>
      </c>
      <c r="D63" s="982"/>
      <c r="E63" s="985"/>
      <c r="F63" s="985"/>
      <c r="G63" s="986"/>
      <c r="H63" s="989"/>
      <c r="I63" s="994"/>
      <c r="J63" s="985"/>
      <c r="K63" s="985"/>
      <c r="L63" s="985"/>
      <c r="M63" s="480"/>
      <c r="N63" s="997"/>
      <c r="O63" s="481"/>
      <c r="P63" s="962"/>
      <c r="Q63" s="963"/>
      <c r="R63" s="472"/>
    </row>
    <row r="64" spans="2:18" ht="14.25" customHeight="1">
      <c r="B64" s="482" t="s">
        <v>490</v>
      </c>
      <c r="C64" s="483">
        <v>0</v>
      </c>
      <c r="D64" s="983"/>
      <c r="E64" s="964"/>
      <c r="F64" s="964"/>
      <c r="G64" s="987"/>
      <c r="H64" s="990"/>
      <c r="I64" s="995"/>
      <c r="J64" s="964"/>
      <c r="K64" s="964"/>
      <c r="L64" s="964"/>
      <c r="M64" s="964"/>
      <c r="N64" s="998"/>
      <c r="O64" s="484"/>
      <c r="P64" s="966"/>
      <c r="Q64" s="967"/>
      <c r="R64" s="421"/>
    </row>
    <row r="65" spans="2:18" ht="14.25" customHeight="1">
      <c r="B65" s="482" t="s">
        <v>491</v>
      </c>
      <c r="C65" s="483">
        <v>0</v>
      </c>
      <c r="D65" s="984"/>
      <c r="E65" s="965"/>
      <c r="F65" s="965"/>
      <c r="G65" s="988"/>
      <c r="H65" s="991"/>
      <c r="I65" s="996"/>
      <c r="J65" s="965"/>
      <c r="K65" s="965"/>
      <c r="L65" s="965"/>
      <c r="M65" s="965"/>
      <c r="N65" s="999"/>
      <c r="O65" s="484"/>
      <c r="P65" s="966"/>
      <c r="Q65" s="967"/>
      <c r="R65" s="472"/>
    </row>
    <row r="66" spans="2:18" ht="14.25" customHeight="1">
      <c r="B66" s="482" t="s">
        <v>492</v>
      </c>
      <c r="C66" s="483">
        <v>0</v>
      </c>
      <c r="D66" s="485"/>
      <c r="E66" s="486"/>
      <c r="F66" s="486"/>
      <c r="G66" s="487"/>
      <c r="H66" s="488"/>
      <c r="I66" s="489"/>
      <c r="J66" s="486"/>
      <c r="K66" s="486"/>
      <c r="L66" s="486"/>
      <c r="M66" s="486"/>
      <c r="N66" s="490"/>
      <c r="O66" s="484"/>
      <c r="P66" s="966"/>
      <c r="Q66" s="967"/>
      <c r="R66" s="474"/>
    </row>
    <row r="67" spans="2:18" ht="14.25" customHeight="1" thickBot="1">
      <c r="B67" s="491" t="s">
        <v>493</v>
      </c>
      <c r="C67" s="492">
        <v>0</v>
      </c>
      <c r="D67" s="493"/>
      <c r="E67" s="494"/>
      <c r="F67" s="494"/>
      <c r="G67" s="494"/>
      <c r="H67" s="495"/>
      <c r="I67" s="496"/>
      <c r="J67" s="494"/>
      <c r="K67" s="494"/>
      <c r="L67" s="494"/>
      <c r="M67" s="497"/>
      <c r="N67" s="498"/>
      <c r="O67" s="499"/>
      <c r="P67" s="992"/>
      <c r="Q67" s="993"/>
      <c r="R67" s="474"/>
    </row>
    <row r="68" spans="2:18" ht="15" customHeight="1" thickTop="1" thickBot="1">
      <c r="B68" s="500" t="s">
        <v>379</v>
      </c>
      <c r="C68" s="501">
        <f>SUM(C63:C67)</f>
        <v>0</v>
      </c>
      <c r="D68" s="502">
        <f>SUM(D66:D67)</f>
        <v>0</v>
      </c>
      <c r="E68" s="502">
        <f t="shared" ref="E68:N68" si="10">SUM(E66:E67)</f>
        <v>0</v>
      </c>
      <c r="F68" s="502">
        <f t="shared" si="10"/>
        <v>0</v>
      </c>
      <c r="G68" s="502">
        <f t="shared" si="10"/>
        <v>0</v>
      </c>
      <c r="H68" s="502">
        <f t="shared" si="10"/>
        <v>0</v>
      </c>
      <c r="I68" s="502">
        <f t="shared" si="10"/>
        <v>0</v>
      </c>
      <c r="J68" s="502">
        <f t="shared" si="10"/>
        <v>0</v>
      </c>
      <c r="K68" s="502">
        <f t="shared" si="10"/>
        <v>0</v>
      </c>
      <c r="L68" s="502">
        <f t="shared" si="10"/>
        <v>0</v>
      </c>
      <c r="M68" s="502">
        <f t="shared" si="10"/>
        <v>0</v>
      </c>
      <c r="N68" s="502">
        <f t="shared" si="10"/>
        <v>0</v>
      </c>
      <c r="O68" s="503">
        <f>SUM(O63:O67)</f>
        <v>0</v>
      </c>
      <c r="P68" s="504"/>
      <c r="Q68" s="505"/>
      <c r="R68" s="474"/>
    </row>
    <row r="69" spans="2:18" ht="15.75" customHeight="1" thickTop="1">
      <c r="B69" s="506"/>
      <c r="C69" s="507"/>
      <c r="D69" s="507"/>
      <c r="E69" s="433"/>
      <c r="F69" s="421"/>
      <c r="G69" s="421"/>
      <c r="H69" s="421"/>
      <c r="I69" s="508"/>
      <c r="J69" s="421"/>
      <c r="K69" s="421"/>
      <c r="L69" s="421"/>
      <c r="M69" s="421"/>
      <c r="N69" s="509"/>
      <c r="O69" s="421"/>
      <c r="P69" s="421"/>
      <c r="Q69" s="421"/>
      <c r="R69" s="421"/>
    </row>
    <row r="70" spans="2:18" ht="15">
      <c r="B70" s="433"/>
      <c r="C70" s="507"/>
      <c r="D70" s="507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</row>
  </sheetData>
  <mergeCells count="45">
    <mergeCell ref="B5:B7"/>
    <mergeCell ref="C5:R5"/>
    <mergeCell ref="C6:C7"/>
    <mergeCell ref="D6:D7"/>
    <mergeCell ref="E6:L6"/>
    <mergeCell ref="M6:Q6"/>
    <mergeCell ref="R6:R7"/>
    <mergeCell ref="C23:Q24"/>
    <mergeCell ref="B58:Q58"/>
    <mergeCell ref="B60:B62"/>
    <mergeCell ref="C60:C62"/>
    <mergeCell ref="D60:N60"/>
    <mergeCell ref="O60:O62"/>
    <mergeCell ref="P60:Q62"/>
    <mergeCell ref="D61:H61"/>
    <mergeCell ref="I61:I62"/>
    <mergeCell ref="J61:J62"/>
    <mergeCell ref="K61:K62"/>
    <mergeCell ref="L61:L62"/>
    <mergeCell ref="M61:M62"/>
    <mergeCell ref="N61:N62"/>
    <mergeCell ref="B31:B33"/>
    <mergeCell ref="C31:R31"/>
    <mergeCell ref="P67:Q67"/>
    <mergeCell ref="I63:I65"/>
    <mergeCell ref="J63:J65"/>
    <mergeCell ref="K63:K65"/>
    <mergeCell ref="L63:L65"/>
    <mergeCell ref="N63:N65"/>
    <mergeCell ref="P66:Q66"/>
    <mergeCell ref="R32:R33"/>
    <mergeCell ref="P63:Q63"/>
    <mergeCell ref="M64:M65"/>
    <mergeCell ref="P64:Q64"/>
    <mergeCell ref="P65:Q65"/>
    <mergeCell ref="C49:Q50"/>
    <mergeCell ref="C32:C33"/>
    <mergeCell ref="D32:D33"/>
    <mergeCell ref="E32:L32"/>
    <mergeCell ref="M32:Q32"/>
    <mergeCell ref="D63:D65"/>
    <mergeCell ref="E63:E65"/>
    <mergeCell ref="F63:F65"/>
    <mergeCell ref="G63:G65"/>
    <mergeCell ref="H63:H65"/>
  </mergeCells>
  <pageMargins left="0.7" right="0.7" top="0.75" bottom="0.75" header="0.3" footer="0.3"/>
  <ignoredErrors>
    <ignoredError sqref="C13 C14:R14 F20:F21 R20:R21 H20:I20 C21:E21 G21:Q21 C25:R25 K35 R35:R40 G36:G37 C35:E37 K37 E39:E40 C38:D40 F40:Q40 F46:F47 R46:R47 H46:I46 C47:E47 G47:Q47 C51:R51 C68:O68 K9 R9:R13 G10:G11 C9:E11 K11 C12 H16:I18 R16:R18 F16:F18 H42:I44 R42:R44 F42:F44 E13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U104"/>
  <sheetViews>
    <sheetView showGridLines="0" zoomScale="85" zoomScaleNormal="85" workbookViewId="0">
      <selection activeCell="C25" sqref="C25:R25"/>
    </sheetView>
  </sheetViews>
  <sheetFormatPr defaultRowHeight="14.25"/>
  <cols>
    <col min="1" max="1" width="2.75" style="285" customWidth="1"/>
    <col min="2" max="2" width="59.125" style="285" customWidth="1"/>
    <col min="3" max="3" width="13.625" style="285" customWidth="1"/>
    <col min="4" max="4" width="11.625" style="285" customWidth="1"/>
    <col min="5" max="5" width="12.625" style="285" customWidth="1"/>
    <col min="6" max="6" width="9.75" style="285" customWidth="1"/>
    <col min="7" max="7" width="9.625" style="285" customWidth="1"/>
    <col min="8" max="8" width="12.625" style="285" customWidth="1"/>
    <col min="9" max="9" width="11.125" style="285" customWidth="1"/>
    <col min="10" max="10" width="12.125" style="285" customWidth="1"/>
    <col min="11" max="11" width="11.75" style="285" customWidth="1"/>
    <col min="12" max="12" width="9.375" style="285" customWidth="1"/>
    <col min="13" max="13" width="10.875" style="285" customWidth="1"/>
    <col min="14" max="14" width="12.5" style="285" customWidth="1"/>
    <col min="15" max="15" width="8.875" style="285" customWidth="1"/>
    <col min="16" max="16" width="13.5" style="285" customWidth="1"/>
    <col min="17" max="17" width="15.375" style="285" customWidth="1"/>
    <col min="18" max="18" width="16.625" style="285" customWidth="1"/>
    <col min="19" max="16384" width="9" style="285"/>
  </cols>
  <sheetData>
    <row r="2" spans="2:18" ht="15.75">
      <c r="B2" s="951" t="s">
        <v>457</v>
      </c>
      <c r="C2" s="952"/>
      <c r="D2" s="420"/>
      <c r="E2" s="420"/>
      <c r="F2" s="420"/>
      <c r="G2" s="420"/>
      <c r="H2" s="421"/>
      <c r="I2" s="421"/>
      <c r="J2" s="422"/>
      <c r="K2" s="422"/>
      <c r="L2" s="421"/>
      <c r="M2" s="421"/>
      <c r="N2" s="421"/>
      <c r="O2" s="421"/>
      <c r="P2" s="421"/>
      <c r="Q2" s="421"/>
      <c r="R2" s="421"/>
    </row>
    <row r="3" spans="2:18">
      <c r="B3" s="953"/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953"/>
      <c r="Q3" s="953"/>
      <c r="R3" s="953"/>
    </row>
    <row r="4" spans="2:18" ht="17.25" customHeight="1" thickBot="1"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2:18" ht="33" customHeight="1" thickTop="1" thickBot="1">
      <c r="B5" s="954" t="s">
        <v>376</v>
      </c>
      <c r="C5" s="957" t="s">
        <v>494</v>
      </c>
      <c r="D5" s="958"/>
      <c r="E5" s="958"/>
      <c r="F5" s="958"/>
      <c r="G5" s="958"/>
      <c r="H5" s="958"/>
      <c r="I5" s="958"/>
      <c r="J5" s="958"/>
      <c r="K5" s="958"/>
      <c r="L5" s="958"/>
      <c r="M5" s="958"/>
      <c r="N5" s="958"/>
      <c r="O5" s="958"/>
      <c r="P5" s="958"/>
      <c r="Q5" s="958"/>
      <c r="R5" s="959"/>
    </row>
    <row r="6" spans="2:18" ht="21" customHeight="1" thickTop="1">
      <c r="B6" s="955"/>
      <c r="C6" s="937" t="s">
        <v>113</v>
      </c>
      <c r="D6" s="939" t="s">
        <v>60</v>
      </c>
      <c r="E6" s="941" t="s">
        <v>377</v>
      </c>
      <c r="F6" s="942"/>
      <c r="G6" s="942"/>
      <c r="H6" s="942"/>
      <c r="I6" s="942"/>
      <c r="J6" s="942"/>
      <c r="K6" s="942"/>
      <c r="L6" s="943"/>
      <c r="M6" s="941" t="s">
        <v>378</v>
      </c>
      <c r="N6" s="942"/>
      <c r="O6" s="942"/>
      <c r="P6" s="942"/>
      <c r="Q6" s="944"/>
      <c r="R6" s="945" t="s">
        <v>379</v>
      </c>
    </row>
    <row r="7" spans="2:18" ht="45.75" thickBot="1">
      <c r="B7" s="956"/>
      <c r="C7" s="938"/>
      <c r="D7" s="940"/>
      <c r="E7" s="678" t="s">
        <v>458</v>
      </c>
      <c r="F7" s="678" t="s">
        <v>380</v>
      </c>
      <c r="G7" s="425" t="s">
        <v>59</v>
      </c>
      <c r="H7" s="678" t="s">
        <v>81</v>
      </c>
      <c r="I7" s="678" t="s">
        <v>19</v>
      </c>
      <c r="J7" s="678" t="s">
        <v>459</v>
      </c>
      <c r="K7" s="426" t="s">
        <v>460</v>
      </c>
      <c r="L7" s="426" t="s">
        <v>461</v>
      </c>
      <c r="M7" s="425" t="s">
        <v>462</v>
      </c>
      <c r="N7" s="427" t="s">
        <v>463</v>
      </c>
      <c r="O7" s="427" t="s">
        <v>464</v>
      </c>
      <c r="P7" s="427" t="s">
        <v>465</v>
      </c>
      <c r="Q7" s="428" t="s">
        <v>466</v>
      </c>
      <c r="R7" s="946"/>
    </row>
    <row r="8" spans="2:18" ht="16.5" thickTop="1">
      <c r="B8" s="534" t="s">
        <v>467</v>
      </c>
      <c r="C8" s="947" t="s">
        <v>381</v>
      </c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947"/>
      <c r="O8" s="947"/>
      <c r="P8" s="947"/>
      <c r="Q8" s="948"/>
      <c r="R8" s="429"/>
    </row>
    <row r="9" spans="2:18">
      <c r="B9" s="535" t="s">
        <v>468</v>
      </c>
      <c r="C9" s="702">
        <f>'En. elektryczna_2024'!D10</f>
        <v>292.51</v>
      </c>
      <c r="D9" s="703">
        <f>'Ciepło sieciowe_2024'!D7*0.277</f>
        <v>842.08</v>
      </c>
      <c r="E9" s="703">
        <f>Gaz_2024!F10</f>
        <v>10045.848796444445</v>
      </c>
      <c r="F9" s="703">
        <v>0</v>
      </c>
      <c r="G9" s="703">
        <v>0</v>
      </c>
      <c r="H9" s="703">
        <v>0</v>
      </c>
      <c r="I9" s="703">
        <v>0</v>
      </c>
      <c r="J9" s="703">
        <v>0</v>
      </c>
      <c r="K9" s="703">
        <f>'Budynki komunalne_2014'!H8</f>
        <v>180.82560000000001</v>
      </c>
      <c r="L9" s="703">
        <v>0</v>
      </c>
      <c r="M9" s="703">
        <v>0</v>
      </c>
      <c r="N9" s="703">
        <v>0</v>
      </c>
      <c r="O9" s="703">
        <v>0</v>
      </c>
      <c r="P9" s="703">
        <v>0</v>
      </c>
      <c r="Q9" s="704">
        <v>0</v>
      </c>
      <c r="R9" s="705">
        <f>SUM(C9:Q9)</f>
        <v>11361.264396444445</v>
      </c>
    </row>
    <row r="10" spans="2:18">
      <c r="B10" s="536" t="s">
        <v>469</v>
      </c>
      <c r="C10" s="702">
        <f>'En. elektryczna_2024'!D8</f>
        <v>10353.9</v>
      </c>
      <c r="D10" s="703">
        <f>'Ciepło sieciowe_2024'!D8*D48</f>
        <v>96.95</v>
      </c>
      <c r="E10" s="703">
        <f>Gaz_2024!F8</f>
        <v>10721.001404444445</v>
      </c>
      <c r="F10" s="703">
        <v>0</v>
      </c>
      <c r="G10" s="703">
        <f>'Budynku niekomunalne_2014'!H12</f>
        <v>35.600040000000007</v>
      </c>
      <c r="H10" s="703">
        <v>0</v>
      </c>
      <c r="I10" s="703">
        <v>0</v>
      </c>
      <c r="J10" s="703">
        <v>0</v>
      </c>
      <c r="K10" s="703">
        <v>0</v>
      </c>
      <c r="L10" s="703">
        <v>0</v>
      </c>
      <c r="M10" s="703">
        <v>0</v>
      </c>
      <c r="N10" s="703">
        <v>0</v>
      </c>
      <c r="O10" s="703">
        <v>0</v>
      </c>
      <c r="P10" s="703">
        <v>0</v>
      </c>
      <c r="Q10" s="704">
        <v>0</v>
      </c>
      <c r="R10" s="706">
        <f>SUM(C10:Q10)</f>
        <v>21207.451444444447</v>
      </c>
    </row>
    <row r="11" spans="2:18">
      <c r="B11" s="535" t="s">
        <v>312</v>
      </c>
      <c r="C11" s="702">
        <f>'En. elektryczna_2024'!D9</f>
        <v>9189.08</v>
      </c>
      <c r="D11" s="703">
        <f>'Ciepło sieciowe_2024'!D6*D48</f>
        <v>7777.8830000000007</v>
      </c>
      <c r="E11" s="703">
        <f>Gaz_2024!F9</f>
        <v>25572.258333333335</v>
      </c>
      <c r="F11" s="703">
        <v>0</v>
      </c>
      <c r="G11" s="703">
        <f>'Ciepło_gosp. dom._2020'!H9</f>
        <v>1526.4760895793847</v>
      </c>
      <c r="H11" s="703">
        <v>0</v>
      </c>
      <c r="I11" s="703">
        <v>0</v>
      </c>
      <c r="J11" s="703">
        <v>0</v>
      </c>
      <c r="K11" s="703">
        <f>'Ciepło_gosp. dom._2020'!H7</f>
        <v>28118.790118769914</v>
      </c>
      <c r="L11" s="703">
        <v>0</v>
      </c>
      <c r="M11" s="703">
        <v>0</v>
      </c>
      <c r="N11" s="703">
        <v>0</v>
      </c>
      <c r="O11" s="703">
        <f>'Ciepło_gosp. dom._2020'!H10</f>
        <v>5398.5884287839172</v>
      </c>
      <c r="P11" s="703">
        <v>0</v>
      </c>
      <c r="Q11" s="704">
        <v>0</v>
      </c>
      <c r="R11" s="706">
        <f>SUM(C11:Q11)</f>
        <v>77583.075970466554</v>
      </c>
    </row>
    <row r="12" spans="2:18">
      <c r="B12" s="535" t="s">
        <v>389</v>
      </c>
      <c r="C12" s="702">
        <f>'En. elektryczna_2024'!D11</f>
        <v>1282</v>
      </c>
      <c r="D12" s="703">
        <v>0</v>
      </c>
      <c r="E12" s="703">
        <v>0</v>
      </c>
      <c r="F12" s="703">
        <v>0</v>
      </c>
      <c r="G12" s="703">
        <v>0</v>
      </c>
      <c r="H12" s="703">
        <v>0</v>
      </c>
      <c r="I12" s="703">
        <v>0</v>
      </c>
      <c r="J12" s="703">
        <v>0</v>
      </c>
      <c r="K12" s="703">
        <v>0</v>
      </c>
      <c r="L12" s="703">
        <v>0</v>
      </c>
      <c r="M12" s="703">
        <v>0</v>
      </c>
      <c r="N12" s="703">
        <v>0</v>
      </c>
      <c r="O12" s="703">
        <v>0</v>
      </c>
      <c r="P12" s="703">
        <v>0</v>
      </c>
      <c r="Q12" s="704">
        <v>0</v>
      </c>
      <c r="R12" s="706">
        <f>SUM(C12:Q12)</f>
        <v>1282</v>
      </c>
    </row>
    <row r="13" spans="2:18" ht="29.25" thickBot="1">
      <c r="B13" s="537" t="s">
        <v>470</v>
      </c>
      <c r="C13" s="707">
        <f>'En. elektryczna_2024'!D7</f>
        <v>5153.6499999999996</v>
      </c>
      <c r="D13" s="708">
        <v>0</v>
      </c>
      <c r="E13" s="709">
        <f>Gaz_2024!F7</f>
        <v>528.81909222222214</v>
      </c>
      <c r="F13" s="709">
        <v>0</v>
      </c>
      <c r="G13" s="709">
        <v>0</v>
      </c>
      <c r="H13" s="703">
        <v>0</v>
      </c>
      <c r="I13" s="703">
        <v>0</v>
      </c>
      <c r="J13" s="709">
        <v>0</v>
      </c>
      <c r="K13" s="707">
        <v>0</v>
      </c>
      <c r="L13" s="703">
        <v>0</v>
      </c>
      <c r="M13" s="703">
        <v>0</v>
      </c>
      <c r="N13" s="703">
        <v>0</v>
      </c>
      <c r="O13" s="703">
        <v>0</v>
      </c>
      <c r="P13" s="708">
        <v>0</v>
      </c>
      <c r="Q13" s="710">
        <v>0</v>
      </c>
      <c r="R13" s="711">
        <f>SUM(C13:Q13)</f>
        <v>5682.4690922222217</v>
      </c>
    </row>
    <row r="14" spans="2:18" ht="15.75" thickBot="1">
      <c r="B14" s="538" t="s">
        <v>471</v>
      </c>
      <c r="C14" s="712">
        <f t="shared" ref="C14:R14" si="0">SUM(C9:C13)</f>
        <v>26271.14</v>
      </c>
      <c r="D14" s="713">
        <f>SUM(D9:D13)</f>
        <v>8716.9130000000005</v>
      </c>
      <c r="E14" s="713">
        <f t="shared" si="0"/>
        <v>46867.927626444442</v>
      </c>
      <c r="F14" s="713">
        <f t="shared" si="0"/>
        <v>0</v>
      </c>
      <c r="G14" s="713">
        <f t="shared" si="0"/>
        <v>1562.0761295793848</v>
      </c>
      <c r="H14" s="713">
        <f t="shared" si="0"/>
        <v>0</v>
      </c>
      <c r="I14" s="713">
        <f t="shared" si="0"/>
        <v>0</v>
      </c>
      <c r="J14" s="713">
        <f t="shared" si="0"/>
        <v>0</v>
      </c>
      <c r="K14" s="713">
        <f t="shared" si="0"/>
        <v>28299.615718769914</v>
      </c>
      <c r="L14" s="713">
        <f t="shared" si="0"/>
        <v>0</v>
      </c>
      <c r="M14" s="713">
        <f t="shared" si="0"/>
        <v>0</v>
      </c>
      <c r="N14" s="713">
        <f t="shared" si="0"/>
        <v>0</v>
      </c>
      <c r="O14" s="713">
        <f t="shared" si="0"/>
        <v>5398.5884287839172</v>
      </c>
      <c r="P14" s="713">
        <f t="shared" si="0"/>
        <v>0</v>
      </c>
      <c r="Q14" s="713">
        <f t="shared" si="0"/>
        <v>0</v>
      </c>
      <c r="R14" s="713">
        <f t="shared" si="0"/>
        <v>117116.26090357767</v>
      </c>
    </row>
    <row r="15" spans="2:18" ht="15.75">
      <c r="B15" s="539" t="s">
        <v>384</v>
      </c>
      <c r="C15" s="1031"/>
      <c r="D15" s="1031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32"/>
      <c r="R15" s="714"/>
    </row>
    <row r="16" spans="2:18">
      <c r="B16" s="535" t="s">
        <v>348</v>
      </c>
      <c r="C16" s="702">
        <v>0</v>
      </c>
      <c r="D16" s="702">
        <v>0</v>
      </c>
      <c r="E16" s="702">
        <v>0</v>
      </c>
      <c r="F16" s="703">
        <f>'Tabor gminny_2024'!E24</f>
        <v>38.299475318111988</v>
      </c>
      <c r="G16" s="703">
        <v>0</v>
      </c>
      <c r="H16" s="703">
        <f>'Tabor gminny_2024'!E23</f>
        <v>616.06264827189602</v>
      </c>
      <c r="I16" s="703">
        <f>'Tabor gminny_2020'!E22</f>
        <v>280.02800480255996</v>
      </c>
      <c r="J16" s="703">
        <v>0</v>
      </c>
      <c r="K16" s="703">
        <v>0</v>
      </c>
      <c r="L16" s="703">
        <v>0</v>
      </c>
      <c r="M16" s="703">
        <v>0</v>
      </c>
      <c r="N16" s="703">
        <v>0</v>
      </c>
      <c r="O16" s="703">
        <v>0</v>
      </c>
      <c r="P16" s="703">
        <v>0</v>
      </c>
      <c r="Q16" s="703">
        <v>0</v>
      </c>
      <c r="R16" s="702">
        <f>SUM(C16:Q16)</f>
        <v>934.39012839256793</v>
      </c>
    </row>
    <row r="17" spans="2:21">
      <c r="B17" s="535" t="s">
        <v>513</v>
      </c>
      <c r="C17" s="702">
        <v>0</v>
      </c>
      <c r="D17" s="702">
        <v>0</v>
      </c>
      <c r="E17" s="702">
        <v>0</v>
      </c>
      <c r="F17" s="703">
        <v>0</v>
      </c>
      <c r="G17" s="703">
        <v>0</v>
      </c>
      <c r="H17" s="703">
        <f>'Transport kom. autobusy_2024'!F14</f>
        <v>123.12312226200002</v>
      </c>
      <c r="I17" s="703">
        <f>'Transport kom. autobusy_2020'!L3</f>
        <v>0</v>
      </c>
      <c r="J17" s="703">
        <v>0</v>
      </c>
      <c r="K17" s="703">
        <v>0</v>
      </c>
      <c r="L17" s="703">
        <v>0</v>
      </c>
      <c r="M17" s="703">
        <v>0</v>
      </c>
      <c r="N17" s="703">
        <v>0</v>
      </c>
      <c r="O17" s="703">
        <v>0</v>
      </c>
      <c r="P17" s="703">
        <v>0</v>
      </c>
      <c r="Q17" s="703">
        <v>0</v>
      </c>
      <c r="R17" s="702">
        <f>SUM(C17:Q17)</f>
        <v>123.12312226200002</v>
      </c>
    </row>
    <row r="18" spans="2:21">
      <c r="B18" s="535" t="s">
        <v>356</v>
      </c>
      <c r="C18" s="702">
        <v>0</v>
      </c>
      <c r="D18" s="702">
        <v>0</v>
      </c>
      <c r="E18" s="702">
        <v>0</v>
      </c>
      <c r="F18" s="703">
        <f>'Transport prywatny_2024'!F18</f>
        <v>401.85127194248054</v>
      </c>
      <c r="G18" s="703">
        <v>0</v>
      </c>
      <c r="H18" s="703">
        <f>'Transport prywatny_2024'!F17</f>
        <v>31251.937539805833</v>
      </c>
      <c r="I18" s="703">
        <f>'Transport prywatny_2024'!F16</f>
        <v>7048.8504527339528</v>
      </c>
      <c r="J18" s="703">
        <v>0</v>
      </c>
      <c r="K18" s="703">
        <v>0</v>
      </c>
      <c r="L18" s="703">
        <v>0</v>
      </c>
      <c r="M18" s="703">
        <v>0</v>
      </c>
      <c r="N18" s="703">
        <v>0</v>
      </c>
      <c r="O18" s="703">
        <v>0</v>
      </c>
      <c r="P18" s="703">
        <v>0</v>
      </c>
      <c r="Q18" s="703">
        <v>0</v>
      </c>
      <c r="R18" s="702">
        <f>SUM(C18:Q18)</f>
        <v>38702.639264482263</v>
      </c>
    </row>
    <row r="19" spans="2:21">
      <c r="B19" s="535" t="s">
        <v>591</v>
      </c>
      <c r="C19" s="702">
        <v>0</v>
      </c>
      <c r="D19" s="702">
        <v>0</v>
      </c>
      <c r="E19" s="702">
        <v>0</v>
      </c>
      <c r="F19" s="703">
        <v>0</v>
      </c>
      <c r="G19" s="703">
        <v>0</v>
      </c>
      <c r="H19" s="703">
        <v>0</v>
      </c>
      <c r="I19" s="703">
        <v>0</v>
      </c>
      <c r="J19" s="703">
        <v>0</v>
      </c>
      <c r="K19" s="703">
        <v>0</v>
      </c>
      <c r="L19" s="703">
        <v>0</v>
      </c>
      <c r="M19" s="703">
        <v>0</v>
      </c>
      <c r="N19" s="703">
        <v>0</v>
      </c>
      <c r="O19" s="703">
        <v>0</v>
      </c>
      <c r="P19" s="703">
        <v>0</v>
      </c>
      <c r="Q19" s="703">
        <v>0</v>
      </c>
      <c r="R19" s="702">
        <v>0</v>
      </c>
    </row>
    <row r="20" spans="2:21">
      <c r="B20" s="535" t="s">
        <v>357</v>
      </c>
      <c r="C20" s="702">
        <v>0</v>
      </c>
      <c r="D20" s="702">
        <v>0</v>
      </c>
      <c r="E20" s="702">
        <v>0</v>
      </c>
      <c r="F20" s="703">
        <f>'Transport komercyjny_2020'!F18</f>
        <v>0</v>
      </c>
      <c r="G20" s="703">
        <v>0</v>
      </c>
      <c r="H20" s="703">
        <f>'Transport komercyjny_2024'!F17</f>
        <v>7135.8157159778957</v>
      </c>
      <c r="I20" s="703">
        <f>'Transport komercyjny_2024'!F16</f>
        <v>3174.333608506061</v>
      </c>
      <c r="J20" s="703">
        <v>0</v>
      </c>
      <c r="K20" s="703">
        <v>0</v>
      </c>
      <c r="L20" s="703">
        <v>0</v>
      </c>
      <c r="M20" s="703">
        <v>0</v>
      </c>
      <c r="N20" s="703">
        <v>0</v>
      </c>
      <c r="O20" s="703">
        <v>0</v>
      </c>
      <c r="P20" s="703">
        <v>0</v>
      </c>
      <c r="Q20" s="703">
        <v>0</v>
      </c>
      <c r="R20" s="702">
        <f>SUM(C20:Q20)</f>
        <v>10310.149324483957</v>
      </c>
    </row>
    <row r="21" spans="2:21" ht="15.75" thickBot="1">
      <c r="B21" s="540" t="s">
        <v>472</v>
      </c>
      <c r="C21" s="715">
        <f t="shared" ref="C21:R21" si="1">SUM(C16:C20)</f>
        <v>0</v>
      </c>
      <c r="D21" s="716">
        <f t="shared" si="1"/>
        <v>0</v>
      </c>
      <c r="E21" s="716">
        <f t="shared" si="1"/>
        <v>0</v>
      </c>
      <c r="F21" s="716">
        <f t="shared" si="1"/>
        <v>440.15074726059254</v>
      </c>
      <c r="G21" s="716">
        <f t="shared" si="1"/>
        <v>0</v>
      </c>
      <c r="H21" s="716">
        <f t="shared" si="1"/>
        <v>39126.939026317625</v>
      </c>
      <c r="I21" s="716">
        <f t="shared" si="1"/>
        <v>10503.212066042573</v>
      </c>
      <c r="J21" s="716">
        <f t="shared" si="1"/>
        <v>0</v>
      </c>
      <c r="K21" s="716">
        <f t="shared" si="1"/>
        <v>0</v>
      </c>
      <c r="L21" s="716">
        <f t="shared" si="1"/>
        <v>0</v>
      </c>
      <c r="M21" s="716">
        <f t="shared" si="1"/>
        <v>0</v>
      </c>
      <c r="N21" s="716">
        <f t="shared" si="1"/>
        <v>0</v>
      </c>
      <c r="O21" s="716">
        <f t="shared" si="1"/>
        <v>0</v>
      </c>
      <c r="P21" s="716">
        <f t="shared" si="1"/>
        <v>0</v>
      </c>
      <c r="Q21" s="716">
        <f t="shared" si="1"/>
        <v>0</v>
      </c>
      <c r="R21" s="716">
        <f t="shared" si="1"/>
        <v>50070.301839620792</v>
      </c>
    </row>
    <row r="22" spans="2:21" ht="17.25" customHeight="1" thickTop="1" thickBot="1">
      <c r="B22" s="541" t="s">
        <v>379</v>
      </c>
      <c r="C22" s="717">
        <f t="shared" ref="C22:Q22" si="2">C21+C14</f>
        <v>26271.14</v>
      </c>
      <c r="D22" s="718">
        <f t="shared" si="2"/>
        <v>8716.9130000000005</v>
      </c>
      <c r="E22" s="718">
        <f t="shared" si="2"/>
        <v>46867.927626444442</v>
      </c>
      <c r="F22" s="718">
        <f t="shared" si="2"/>
        <v>440.15074726059254</v>
      </c>
      <c r="G22" s="718">
        <f t="shared" si="2"/>
        <v>1562.0761295793848</v>
      </c>
      <c r="H22" s="718">
        <f t="shared" si="2"/>
        <v>39126.939026317625</v>
      </c>
      <c r="I22" s="718">
        <f t="shared" si="2"/>
        <v>10503.212066042573</v>
      </c>
      <c r="J22" s="718">
        <f t="shared" si="2"/>
        <v>0</v>
      </c>
      <c r="K22" s="718">
        <f t="shared" si="2"/>
        <v>28299.615718769914</v>
      </c>
      <c r="L22" s="718">
        <f t="shared" si="2"/>
        <v>0</v>
      </c>
      <c r="M22" s="718">
        <f t="shared" si="2"/>
        <v>0</v>
      </c>
      <c r="N22" s="718">
        <f t="shared" si="2"/>
        <v>0</v>
      </c>
      <c r="O22" s="718">
        <f t="shared" si="2"/>
        <v>5398.5884287839172</v>
      </c>
      <c r="P22" s="718">
        <f t="shared" si="2"/>
        <v>0</v>
      </c>
      <c r="Q22" s="718">
        <f t="shared" si="2"/>
        <v>0</v>
      </c>
      <c r="R22" s="718">
        <f>R21+R14</f>
        <v>167186.56274319848</v>
      </c>
    </row>
    <row r="23" spans="2:21" ht="14.25" customHeight="1">
      <c r="B23" s="512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</row>
    <row r="24" spans="2:21" ht="14.25" customHeight="1" thickBot="1">
      <c r="B24" s="512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  <c r="R24" s="431"/>
    </row>
    <row r="25" spans="2:21" ht="30.75" customHeight="1" thickTop="1" thickBot="1">
      <c r="B25" s="954" t="s">
        <v>376</v>
      </c>
      <c r="C25" s="957" t="s">
        <v>599</v>
      </c>
      <c r="D25" s="958"/>
      <c r="E25" s="958"/>
      <c r="F25" s="958"/>
      <c r="G25" s="958"/>
      <c r="H25" s="958"/>
      <c r="I25" s="958"/>
      <c r="J25" s="958"/>
      <c r="K25" s="958"/>
      <c r="L25" s="958"/>
      <c r="M25" s="958"/>
      <c r="N25" s="958"/>
      <c r="O25" s="958"/>
      <c r="P25" s="958"/>
      <c r="Q25" s="958"/>
      <c r="R25" s="959"/>
    </row>
    <row r="26" spans="2:21" ht="20.25" customHeight="1" thickTop="1">
      <c r="B26" s="955"/>
      <c r="C26" s="937" t="s">
        <v>113</v>
      </c>
      <c r="D26" s="939" t="s">
        <v>60</v>
      </c>
      <c r="E26" s="941" t="s">
        <v>377</v>
      </c>
      <c r="F26" s="942"/>
      <c r="G26" s="942"/>
      <c r="H26" s="942"/>
      <c r="I26" s="942"/>
      <c r="J26" s="942"/>
      <c r="K26" s="942"/>
      <c r="L26" s="943"/>
      <c r="M26" s="941" t="s">
        <v>378</v>
      </c>
      <c r="N26" s="942"/>
      <c r="O26" s="942"/>
      <c r="P26" s="942"/>
      <c r="Q26" s="944"/>
      <c r="R26" s="945" t="s">
        <v>379</v>
      </c>
    </row>
    <row r="27" spans="2:21" ht="30" customHeight="1" thickBot="1">
      <c r="B27" s="956"/>
      <c r="C27" s="938"/>
      <c r="D27" s="940"/>
      <c r="E27" s="678" t="s">
        <v>458</v>
      </c>
      <c r="F27" s="678" t="s">
        <v>380</v>
      </c>
      <c r="G27" s="425" t="s">
        <v>59</v>
      </c>
      <c r="H27" s="678" t="s">
        <v>81</v>
      </c>
      <c r="I27" s="678" t="s">
        <v>19</v>
      </c>
      <c r="J27" s="678" t="s">
        <v>459</v>
      </c>
      <c r="K27" s="426" t="s">
        <v>460</v>
      </c>
      <c r="L27" s="426" t="s">
        <v>461</v>
      </c>
      <c r="M27" s="425" t="s">
        <v>462</v>
      </c>
      <c r="N27" s="427" t="s">
        <v>463</v>
      </c>
      <c r="O27" s="427" t="s">
        <v>464</v>
      </c>
      <c r="P27" s="427" t="s">
        <v>465</v>
      </c>
      <c r="Q27" s="428" t="s">
        <v>466</v>
      </c>
      <c r="R27" s="946"/>
    </row>
    <row r="28" spans="2:21" ht="14.25" customHeight="1" thickTop="1">
      <c r="B28" s="534" t="s">
        <v>467</v>
      </c>
      <c r="C28" s="947" t="s">
        <v>381</v>
      </c>
      <c r="D28" s="947"/>
      <c r="E28" s="947"/>
      <c r="F28" s="947"/>
      <c r="G28" s="947"/>
      <c r="H28" s="947"/>
      <c r="I28" s="947"/>
      <c r="J28" s="947"/>
      <c r="K28" s="947"/>
      <c r="L28" s="947"/>
      <c r="M28" s="947"/>
      <c r="N28" s="947"/>
      <c r="O28" s="947"/>
      <c r="P28" s="947"/>
      <c r="Q28" s="948"/>
      <c r="R28" s="429"/>
    </row>
    <row r="29" spans="2:21" ht="14.25" customHeight="1">
      <c r="B29" s="535" t="s">
        <v>468</v>
      </c>
      <c r="C29" s="510">
        <f>'En. elektryczna_2024'!D19</f>
        <v>292.51</v>
      </c>
      <c r="D29" s="511">
        <f>'Ciepło sieciowe_2024'!D13*0.277</f>
        <v>842.08</v>
      </c>
      <c r="E29" s="511">
        <f>Gaz_2024!F19</f>
        <v>10045.848796444445</v>
      </c>
      <c r="F29" s="511">
        <v>0</v>
      </c>
      <c r="G29" s="511">
        <v>0</v>
      </c>
      <c r="H29" s="511">
        <v>0</v>
      </c>
      <c r="I29" s="511">
        <v>0</v>
      </c>
      <c r="J29" s="511">
        <f>J9</f>
        <v>0</v>
      </c>
      <c r="K29" s="511">
        <f>K9</f>
        <v>180.82560000000001</v>
      </c>
      <c r="L29" s="511">
        <v>0</v>
      </c>
      <c r="M29" s="511">
        <v>0</v>
      </c>
      <c r="N29" s="511">
        <v>0</v>
      </c>
      <c r="O29" s="511">
        <v>0</v>
      </c>
      <c r="P29" s="511">
        <v>0</v>
      </c>
      <c r="Q29" s="524">
        <v>0</v>
      </c>
      <c r="R29" s="525">
        <f>SUM(C29:Q29)</f>
        <v>11361.264396444445</v>
      </c>
      <c r="U29" s="286">
        <f>R21-R41</f>
        <v>946.47341270298057</v>
      </c>
    </row>
    <row r="30" spans="2:21" ht="14.25" customHeight="1">
      <c r="B30" s="536" t="s">
        <v>469</v>
      </c>
      <c r="C30" s="510">
        <f>'En. elektryczna_2024'!D17</f>
        <v>10156.84844668346</v>
      </c>
      <c r="D30" s="511">
        <f>'Ciepło sieciowe_2024'!D14*0.277</f>
        <v>159.27500000000001</v>
      </c>
      <c r="E30" s="511">
        <f>Gaz_2024!F17</f>
        <v>10516.963314463414</v>
      </c>
      <c r="F30" s="511">
        <v>0</v>
      </c>
      <c r="G30" s="511">
        <f>G10</f>
        <v>35.600040000000007</v>
      </c>
      <c r="H30" s="511">
        <v>0</v>
      </c>
      <c r="I30" s="511">
        <v>0</v>
      </c>
      <c r="J30" s="511">
        <f>J10</f>
        <v>0</v>
      </c>
      <c r="K30" s="511">
        <v>0</v>
      </c>
      <c r="L30" s="511">
        <v>0</v>
      </c>
      <c r="M30" s="511">
        <v>0</v>
      </c>
      <c r="N30" s="511">
        <v>0</v>
      </c>
      <c r="O30" s="511">
        <v>0</v>
      </c>
      <c r="P30" s="511">
        <v>0</v>
      </c>
      <c r="Q30" s="524">
        <v>0</v>
      </c>
      <c r="R30" s="516">
        <f>SUM(C30:Q30)</f>
        <v>20868.686801146872</v>
      </c>
    </row>
    <row r="31" spans="2:21" ht="14.25" customHeight="1">
      <c r="B31" s="535" t="s">
        <v>312</v>
      </c>
      <c r="C31" s="510">
        <f>'En. elektryczna_2024'!D18</f>
        <v>9014.1968653792337</v>
      </c>
      <c r="D31" s="511">
        <f>'Ciepło sieciowe_2024'!D12*0.277</f>
        <v>8759.5709999999999</v>
      </c>
      <c r="E31" s="511">
        <f>Gaz_2024!F18</f>
        <v>25085.576674596508</v>
      </c>
      <c r="F31" s="511">
        <v>0</v>
      </c>
      <c r="G31" s="511">
        <f>'Ciepło_gosp. dom._2024'!H18</f>
        <v>1719.1616635505923</v>
      </c>
      <c r="H31" s="511">
        <v>0</v>
      </c>
      <c r="I31" s="511">
        <v>0</v>
      </c>
      <c r="J31" s="511">
        <f>J11</f>
        <v>0</v>
      </c>
      <c r="K31" s="511">
        <f>'Ciepło_gosp. dom._2024'!H16</f>
        <v>31668.197312500688</v>
      </c>
      <c r="L31" s="511">
        <v>0</v>
      </c>
      <c r="M31" s="511">
        <v>0</v>
      </c>
      <c r="N31" s="511">
        <v>0</v>
      </c>
      <c r="O31" s="511">
        <f>'Ciepło_gosp. dom._2024'!H19</f>
        <v>6080.0469312365685</v>
      </c>
      <c r="P31" s="511">
        <v>0</v>
      </c>
      <c r="Q31" s="524">
        <v>0</v>
      </c>
      <c r="R31" s="516">
        <f>SUM(C31:Q31)</f>
        <v>82326.750447263592</v>
      </c>
    </row>
    <row r="32" spans="2:21" ht="14.25" customHeight="1">
      <c r="B32" s="535" t="s">
        <v>389</v>
      </c>
      <c r="C32" s="510">
        <f>'En. elektryczna_2024'!D20</f>
        <v>1297.3316804114618</v>
      </c>
      <c r="D32" s="511">
        <v>0</v>
      </c>
      <c r="E32" s="511">
        <v>0</v>
      </c>
      <c r="F32" s="511">
        <v>0</v>
      </c>
      <c r="G32" s="511">
        <v>0</v>
      </c>
      <c r="H32" s="511">
        <v>0</v>
      </c>
      <c r="I32" s="511">
        <v>0</v>
      </c>
      <c r="J32" s="511">
        <f>J12</f>
        <v>0</v>
      </c>
      <c r="K32" s="511">
        <v>0</v>
      </c>
      <c r="L32" s="511">
        <v>0</v>
      </c>
      <c r="M32" s="511">
        <v>0</v>
      </c>
      <c r="N32" s="511">
        <v>0</v>
      </c>
      <c r="O32" s="511">
        <v>0</v>
      </c>
      <c r="P32" s="511">
        <v>0</v>
      </c>
      <c r="Q32" s="524">
        <v>0</v>
      </c>
      <c r="R32" s="516">
        <f>SUM(C32:Q32)</f>
        <v>1297.3316804114618</v>
      </c>
    </row>
    <row r="33" spans="2:18" ht="14.25" customHeight="1" thickBot="1">
      <c r="B33" s="537" t="s">
        <v>470</v>
      </c>
      <c r="C33" s="526">
        <f>'En. elektryczna_2024'!D16</f>
        <v>5055.5676602294989</v>
      </c>
      <c r="D33" s="513">
        <v>0</v>
      </c>
      <c r="E33" s="514">
        <f>Gaz_2024!F16</f>
        <v>518.75480499269202</v>
      </c>
      <c r="F33" s="514">
        <v>0</v>
      </c>
      <c r="G33" s="514">
        <v>0</v>
      </c>
      <c r="H33" s="511">
        <v>0</v>
      </c>
      <c r="I33" s="511">
        <v>0</v>
      </c>
      <c r="J33" s="511">
        <f>J13</f>
        <v>0</v>
      </c>
      <c r="K33" s="526">
        <v>0</v>
      </c>
      <c r="L33" s="511">
        <v>0</v>
      </c>
      <c r="M33" s="511">
        <v>0</v>
      </c>
      <c r="N33" s="511">
        <v>0</v>
      </c>
      <c r="O33" s="511">
        <v>0</v>
      </c>
      <c r="P33" s="513">
        <v>0</v>
      </c>
      <c r="Q33" s="527">
        <v>0</v>
      </c>
      <c r="R33" s="528">
        <f>SUM(C33:Q33)</f>
        <v>5574.3224652221907</v>
      </c>
    </row>
    <row r="34" spans="2:18" ht="14.25" customHeight="1" thickBot="1">
      <c r="B34" s="538" t="s">
        <v>471</v>
      </c>
      <c r="C34" s="532">
        <f t="shared" ref="C34" si="3">SUM(C29:C33)</f>
        <v>25816.454652703655</v>
      </c>
      <c r="D34" s="515">
        <f>SUM(D29:D33)</f>
        <v>9760.9259999999995</v>
      </c>
      <c r="E34" s="515">
        <f t="shared" ref="E34:R34" si="4">SUM(E29:E33)</f>
        <v>46167.143590497057</v>
      </c>
      <c r="F34" s="515">
        <f t="shared" si="4"/>
        <v>0</v>
      </c>
      <c r="G34" s="515">
        <f t="shared" si="4"/>
        <v>1754.7617035505923</v>
      </c>
      <c r="H34" s="515">
        <f t="shared" si="4"/>
        <v>0</v>
      </c>
      <c r="I34" s="515">
        <f t="shared" si="4"/>
        <v>0</v>
      </c>
      <c r="J34" s="515">
        <f t="shared" si="4"/>
        <v>0</v>
      </c>
      <c r="K34" s="515">
        <f t="shared" si="4"/>
        <v>31849.022912500688</v>
      </c>
      <c r="L34" s="515">
        <f t="shared" si="4"/>
        <v>0</v>
      </c>
      <c r="M34" s="515">
        <f t="shared" si="4"/>
        <v>0</v>
      </c>
      <c r="N34" s="515">
        <f t="shared" si="4"/>
        <v>0</v>
      </c>
      <c r="O34" s="515">
        <f t="shared" si="4"/>
        <v>6080.0469312365685</v>
      </c>
      <c r="P34" s="515">
        <f t="shared" si="4"/>
        <v>0</v>
      </c>
      <c r="Q34" s="515">
        <f t="shared" si="4"/>
        <v>0</v>
      </c>
      <c r="R34" s="515">
        <f t="shared" si="4"/>
        <v>121428.35579048857</v>
      </c>
    </row>
    <row r="35" spans="2:18" ht="14.25" customHeight="1">
      <c r="B35" s="539" t="s">
        <v>384</v>
      </c>
      <c r="C35" s="949"/>
      <c r="D35" s="949"/>
      <c r="E35" s="949"/>
      <c r="F35" s="949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50"/>
      <c r="R35" s="529"/>
    </row>
    <row r="36" spans="2:18" ht="14.25" customHeight="1">
      <c r="B36" s="535" t="s">
        <v>348</v>
      </c>
      <c r="C36" s="510">
        <v>0</v>
      </c>
      <c r="D36" s="510">
        <v>0</v>
      </c>
      <c r="E36" s="510">
        <v>0</v>
      </c>
      <c r="F36" s="511">
        <f>'Tabor gminny_2024'!E49</f>
        <v>38.299475318111988</v>
      </c>
      <c r="G36" s="511">
        <v>0</v>
      </c>
      <c r="H36" s="511">
        <f>'Tabor gminny_2024'!E48</f>
        <v>616.06264827189602</v>
      </c>
      <c r="I36" s="511">
        <f>'Tabor gminny_2024'!E47</f>
        <v>280.02800480255996</v>
      </c>
      <c r="J36" s="511">
        <v>0</v>
      </c>
      <c r="K36" s="511">
        <v>0</v>
      </c>
      <c r="L36" s="511">
        <v>0</v>
      </c>
      <c r="M36" s="511">
        <v>0</v>
      </c>
      <c r="N36" s="511">
        <v>0</v>
      </c>
      <c r="O36" s="511">
        <v>0</v>
      </c>
      <c r="P36" s="511">
        <v>0</v>
      </c>
      <c r="Q36" s="511">
        <v>0</v>
      </c>
      <c r="R36" s="510">
        <f>SUM(C36:Q36)</f>
        <v>934.39012839256793</v>
      </c>
    </row>
    <row r="37" spans="2:18" ht="14.25" customHeight="1">
      <c r="B37" s="535" t="str">
        <f>B17</f>
        <v>Transport komercyjny autobusy</v>
      </c>
      <c r="C37" s="510">
        <v>0</v>
      </c>
      <c r="D37" s="510">
        <v>0</v>
      </c>
      <c r="E37" s="510">
        <v>0</v>
      </c>
      <c r="F37" s="511">
        <v>0</v>
      </c>
      <c r="G37" s="511">
        <v>0</v>
      </c>
      <c r="H37" s="511">
        <f>'Transport kom. autobusy_2024'!F26</f>
        <v>109.44277534400003</v>
      </c>
      <c r="I37" s="511">
        <f>'Transport kom. autobusy_2024'!F25</f>
        <v>0</v>
      </c>
      <c r="J37" s="511">
        <v>0</v>
      </c>
      <c r="K37" s="511">
        <v>0</v>
      </c>
      <c r="L37" s="511">
        <v>0</v>
      </c>
      <c r="M37" s="511">
        <v>0</v>
      </c>
      <c r="N37" s="511">
        <v>0</v>
      </c>
      <c r="O37" s="511">
        <v>0</v>
      </c>
      <c r="P37" s="511">
        <v>0</v>
      </c>
      <c r="Q37" s="511">
        <v>0</v>
      </c>
      <c r="R37" s="510">
        <f>SUM(C37:Q37)</f>
        <v>109.44277534400003</v>
      </c>
    </row>
    <row r="38" spans="2:18" ht="14.25" customHeight="1">
      <c r="B38" s="535" t="s">
        <v>356</v>
      </c>
      <c r="C38" s="510">
        <v>0</v>
      </c>
      <c r="D38" s="510">
        <v>0</v>
      </c>
      <c r="E38" s="510">
        <v>0</v>
      </c>
      <c r="F38" s="511">
        <f>'Transport prywatny_2024'!F33</f>
        <v>394.20338879328136</v>
      </c>
      <c r="G38" s="511">
        <v>0</v>
      </c>
      <c r="H38" s="511">
        <f>'Transport prywatny_2024'!F32</f>
        <v>30657.162350131384</v>
      </c>
      <c r="I38" s="511">
        <f>'Transport prywatny_2024'!F31</f>
        <v>6914.6993665918008</v>
      </c>
      <c r="J38" s="511">
        <v>0</v>
      </c>
      <c r="K38" s="511">
        <v>0</v>
      </c>
      <c r="L38" s="511">
        <v>0</v>
      </c>
      <c r="M38" s="511">
        <v>0</v>
      </c>
      <c r="N38" s="511">
        <v>0</v>
      </c>
      <c r="O38" s="511">
        <v>0</v>
      </c>
      <c r="P38" s="511">
        <v>0</v>
      </c>
      <c r="Q38" s="511">
        <v>0</v>
      </c>
      <c r="R38" s="510">
        <f>SUM(C38:Q38)</f>
        <v>37966.065105516464</v>
      </c>
    </row>
    <row r="39" spans="2:18" ht="14.25" customHeight="1">
      <c r="B39" s="535" t="str">
        <f>B19</f>
        <v>Transport publiczny</v>
      </c>
      <c r="C39" s="510">
        <v>0</v>
      </c>
      <c r="D39" s="510">
        <v>0</v>
      </c>
      <c r="E39" s="510">
        <v>0</v>
      </c>
      <c r="F39" s="511">
        <v>0</v>
      </c>
      <c r="G39" s="511">
        <v>0</v>
      </c>
      <c r="H39" s="511">
        <v>0</v>
      </c>
      <c r="I39" s="511">
        <v>0</v>
      </c>
      <c r="J39" s="511">
        <v>0</v>
      </c>
      <c r="K39" s="511">
        <v>0</v>
      </c>
      <c r="L39" s="511">
        <v>0</v>
      </c>
      <c r="M39" s="511">
        <v>0</v>
      </c>
      <c r="N39" s="511">
        <v>0</v>
      </c>
      <c r="O39" s="511">
        <v>0</v>
      </c>
      <c r="P39" s="511">
        <v>0</v>
      </c>
      <c r="Q39" s="511">
        <v>0</v>
      </c>
      <c r="R39" s="510">
        <v>0</v>
      </c>
    </row>
    <row r="40" spans="2:18" ht="14.25" customHeight="1">
      <c r="B40" s="535" t="s">
        <v>357</v>
      </c>
      <c r="C40" s="510">
        <v>0</v>
      </c>
      <c r="D40" s="510">
        <v>0</v>
      </c>
      <c r="E40" s="510">
        <v>0</v>
      </c>
      <c r="F40" s="511">
        <f>'Transport komercyjny_2020'!F33</f>
        <v>0</v>
      </c>
      <c r="G40" s="511">
        <v>0</v>
      </c>
      <c r="H40" s="511">
        <f>'Transport komercyjny_2024'!F32</f>
        <v>7000.0095394633427</v>
      </c>
      <c r="I40" s="511">
        <f>'Transport komercyjny_2024'!F31</f>
        <v>3113.9208782014393</v>
      </c>
      <c r="J40" s="511">
        <v>0</v>
      </c>
      <c r="K40" s="511">
        <v>0</v>
      </c>
      <c r="L40" s="511">
        <v>0</v>
      </c>
      <c r="M40" s="511">
        <v>0</v>
      </c>
      <c r="N40" s="511">
        <v>0</v>
      </c>
      <c r="O40" s="511">
        <v>0</v>
      </c>
      <c r="P40" s="511">
        <v>0</v>
      </c>
      <c r="Q40" s="511">
        <v>0</v>
      </c>
      <c r="R40" s="510">
        <f>SUM(C40:Q40)</f>
        <v>10113.930417664782</v>
      </c>
    </row>
    <row r="41" spans="2:18" ht="14.25" customHeight="1" thickBot="1">
      <c r="B41" s="540" t="s">
        <v>472</v>
      </c>
      <c r="C41" s="517">
        <f t="shared" ref="C41:R41" si="5">SUM(C36:C40)</f>
        <v>0</v>
      </c>
      <c r="D41" s="530">
        <f t="shared" si="5"/>
        <v>0</v>
      </c>
      <c r="E41" s="530">
        <f t="shared" si="5"/>
        <v>0</v>
      </c>
      <c r="F41" s="530">
        <f t="shared" si="5"/>
        <v>432.50286411139336</v>
      </c>
      <c r="G41" s="530">
        <f t="shared" si="5"/>
        <v>0</v>
      </c>
      <c r="H41" s="530">
        <f t="shared" si="5"/>
        <v>38382.677313210625</v>
      </c>
      <c r="I41" s="530">
        <f t="shared" si="5"/>
        <v>10308.648249595801</v>
      </c>
      <c r="J41" s="530">
        <f t="shared" si="5"/>
        <v>0</v>
      </c>
      <c r="K41" s="530">
        <f>SUM(K36:K40)</f>
        <v>0</v>
      </c>
      <c r="L41" s="530">
        <f t="shared" si="5"/>
        <v>0</v>
      </c>
      <c r="M41" s="530">
        <f t="shared" si="5"/>
        <v>0</v>
      </c>
      <c r="N41" s="530">
        <f t="shared" si="5"/>
        <v>0</v>
      </c>
      <c r="O41" s="530">
        <f t="shared" si="5"/>
        <v>0</v>
      </c>
      <c r="P41" s="530">
        <f t="shared" si="5"/>
        <v>0</v>
      </c>
      <c r="Q41" s="530">
        <f t="shared" si="5"/>
        <v>0</v>
      </c>
      <c r="R41" s="530">
        <f t="shared" si="5"/>
        <v>49123.828426917811</v>
      </c>
    </row>
    <row r="42" spans="2:18" ht="14.25" customHeight="1" thickTop="1" thickBot="1">
      <c r="B42" s="541" t="s">
        <v>379</v>
      </c>
      <c r="C42" s="533">
        <f>C41+C34</f>
        <v>25816.454652703655</v>
      </c>
      <c r="D42" s="531">
        <f t="shared" ref="D42:Q42" si="6">D41+D34</f>
        <v>9760.9259999999995</v>
      </c>
      <c r="E42" s="531">
        <f t="shared" si="6"/>
        <v>46167.143590497057</v>
      </c>
      <c r="F42" s="531">
        <f t="shared" si="6"/>
        <v>432.50286411139336</v>
      </c>
      <c r="G42" s="531">
        <f t="shared" si="6"/>
        <v>1754.7617035505923</v>
      </c>
      <c r="H42" s="531">
        <f t="shared" si="6"/>
        <v>38382.677313210625</v>
      </c>
      <c r="I42" s="531">
        <f t="shared" si="6"/>
        <v>10308.648249595801</v>
      </c>
      <c r="J42" s="531">
        <f t="shared" si="6"/>
        <v>0</v>
      </c>
      <c r="K42" s="531">
        <f t="shared" si="6"/>
        <v>31849.022912500688</v>
      </c>
      <c r="L42" s="531">
        <f t="shared" si="6"/>
        <v>0</v>
      </c>
      <c r="M42" s="531">
        <f t="shared" si="6"/>
        <v>0</v>
      </c>
      <c r="N42" s="531">
        <f t="shared" si="6"/>
        <v>0</v>
      </c>
      <c r="O42" s="531">
        <f t="shared" si="6"/>
        <v>6080.0469312365685</v>
      </c>
      <c r="P42" s="531">
        <f t="shared" si="6"/>
        <v>0</v>
      </c>
      <c r="Q42" s="531">
        <f t="shared" si="6"/>
        <v>0</v>
      </c>
      <c r="R42" s="531">
        <f>R41+R34</f>
        <v>170552.18421740638</v>
      </c>
    </row>
    <row r="43" spans="2:18" ht="14.25" customHeight="1">
      <c r="B43" s="512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</row>
    <row r="44" spans="2:18" ht="14.25" customHeight="1">
      <c r="B44" s="512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670">
        <f>O22-O42</f>
        <v>-681.45850245265137</v>
      </c>
      <c r="P44" s="431"/>
      <c r="Q44" s="431"/>
      <c r="R44" s="431"/>
    </row>
    <row r="45" spans="2:18" ht="14.25" customHeight="1" thickBot="1">
      <c r="B45" s="512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670"/>
      <c r="Q45" s="431"/>
      <c r="R45" s="431"/>
    </row>
    <row r="46" spans="2:18" ht="14.25" customHeight="1" thickBot="1">
      <c r="B46" s="512"/>
      <c r="C46" s="854" t="s">
        <v>211</v>
      </c>
      <c r="D46" s="855"/>
      <c r="E46" s="856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431"/>
      <c r="Q46" s="431"/>
      <c r="R46" s="431"/>
    </row>
    <row r="47" spans="2:18" ht="14.25" customHeight="1" thickBot="1">
      <c r="B47" s="512"/>
      <c r="C47" s="623" t="s">
        <v>212</v>
      </c>
      <c r="D47" s="626">
        <v>3.6</v>
      </c>
      <c r="E47" s="624" t="s">
        <v>207</v>
      </c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</row>
    <row r="48" spans="2:18" ht="14.25" customHeight="1" thickBot="1">
      <c r="B48" s="512"/>
      <c r="C48" s="673" t="s">
        <v>213</v>
      </c>
      <c r="D48" s="627">
        <v>0.27700000000000002</v>
      </c>
      <c r="E48" s="625" t="s">
        <v>214</v>
      </c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431"/>
      <c r="Q48" s="431"/>
      <c r="R48" s="431"/>
    </row>
    <row r="49" spans="2:18" ht="14.25" customHeight="1">
      <c r="B49" s="512"/>
      <c r="C49" s="431"/>
      <c r="D49" s="431"/>
      <c r="E49" s="431"/>
      <c r="F49" s="431"/>
      <c r="G49" s="431"/>
      <c r="H49" s="431"/>
      <c r="I49" s="431"/>
      <c r="J49" s="431"/>
      <c r="K49" s="431"/>
      <c r="L49" s="431"/>
      <c r="M49" s="431"/>
      <c r="N49" s="431"/>
      <c r="O49" s="431"/>
      <c r="P49" s="431"/>
      <c r="Q49" s="431"/>
      <c r="R49" s="431"/>
    </row>
    <row r="50" spans="2:18" ht="14.25" customHeight="1">
      <c r="B50" s="512"/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31"/>
      <c r="R50" s="431"/>
    </row>
    <row r="51" spans="2:18" ht="14.25" customHeight="1">
      <c r="B51" s="512"/>
      <c r="C51" s="431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</row>
    <row r="52" spans="2:18" ht="14.25" customHeight="1">
      <c r="B52" s="512"/>
      <c r="C52" s="431"/>
      <c r="D52" s="431"/>
      <c r="E52" s="431"/>
      <c r="F52" s="431"/>
      <c r="G52" s="431"/>
      <c r="H52" s="431"/>
      <c r="I52" s="431"/>
      <c r="J52" s="431"/>
      <c r="K52" s="431"/>
      <c r="L52" s="431"/>
      <c r="M52" s="431"/>
      <c r="N52" s="431"/>
      <c r="O52" s="431"/>
      <c r="P52" s="431"/>
      <c r="Q52" s="431"/>
      <c r="R52" s="431"/>
    </row>
    <row r="53" spans="2:18" ht="14.25" customHeight="1">
      <c r="B53" s="512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</row>
    <row r="54" spans="2:18" ht="14.25" customHeight="1">
      <c r="B54" s="512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</row>
    <row r="55" spans="2:18" ht="14.25" customHeight="1">
      <c r="B55" s="512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</row>
    <row r="56" spans="2:18" ht="15" customHeight="1">
      <c r="B56" s="432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</row>
    <row r="57" spans="2:18" ht="15.75" customHeight="1"/>
    <row r="61" spans="2:18" ht="17.25" customHeight="1"/>
    <row r="62" spans="2:18" ht="15.75" customHeight="1"/>
    <row r="63" spans="2:18" ht="15.75" customHeight="1"/>
    <row r="89" ht="17.25" customHeight="1"/>
    <row r="90" ht="15.75" customHeight="1"/>
    <row r="103" ht="17.25" customHeight="1"/>
    <row r="104" ht="15.75" customHeight="1"/>
  </sheetData>
  <mergeCells count="21">
    <mergeCell ref="C28:Q28"/>
    <mergeCell ref="C35:Q35"/>
    <mergeCell ref="C46:E46"/>
    <mergeCell ref="C8:Q8"/>
    <mergeCell ref="C15:Q15"/>
    <mergeCell ref="B25:B27"/>
    <mergeCell ref="C25:R25"/>
    <mergeCell ref="C26:C27"/>
    <mergeCell ref="D26:D27"/>
    <mergeCell ref="E26:L26"/>
    <mergeCell ref="M26:Q26"/>
    <mergeCell ref="R26:R27"/>
    <mergeCell ref="B2:C2"/>
    <mergeCell ref="B3:R3"/>
    <mergeCell ref="B5:B7"/>
    <mergeCell ref="C5:R5"/>
    <mergeCell ref="C6:C7"/>
    <mergeCell ref="D6:D7"/>
    <mergeCell ref="E6:L6"/>
    <mergeCell ref="M6:Q6"/>
    <mergeCell ref="R6:R7"/>
  </mergeCells>
  <pageMargins left="0.7" right="0.7" top="0.75" bottom="0.75" header="0.3" footer="0.3"/>
  <pageSetup paperSize="9" scale="48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70"/>
  <sheetViews>
    <sheetView showGridLines="0" zoomScale="70" zoomScaleNormal="70" workbookViewId="0">
      <selection activeCell="C5" sqref="C5:R5"/>
    </sheetView>
  </sheetViews>
  <sheetFormatPr defaultRowHeight="14.25"/>
  <cols>
    <col min="1" max="1" width="2.75" style="285" customWidth="1"/>
    <col min="2" max="2" width="57.25" style="285" customWidth="1"/>
    <col min="3" max="3" width="14.375" style="285" customWidth="1"/>
    <col min="4" max="4" width="13.625" style="285" customWidth="1"/>
    <col min="5" max="5" width="14.375" style="285" customWidth="1"/>
    <col min="6" max="6" width="13.75" style="285" customWidth="1"/>
    <col min="7" max="7" width="13.875" style="285" customWidth="1"/>
    <col min="8" max="8" width="14" style="285" customWidth="1"/>
    <col min="9" max="9" width="13.875" style="285" customWidth="1"/>
    <col min="10" max="11" width="11.5" style="285" customWidth="1"/>
    <col min="12" max="12" width="14.375" style="285" customWidth="1"/>
    <col min="13" max="13" width="13.125" style="285" customWidth="1"/>
    <col min="14" max="14" width="9" style="285" customWidth="1"/>
    <col min="15" max="15" width="16.625" style="285" customWidth="1"/>
    <col min="16" max="16" width="15" style="285" customWidth="1"/>
    <col min="17" max="17" width="14.625" style="285" customWidth="1"/>
    <col min="18" max="18" width="15.75" style="285" customWidth="1"/>
    <col min="19" max="16384" width="9" style="285"/>
  </cols>
  <sheetData>
    <row r="1" spans="2:18" ht="15"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</row>
    <row r="2" spans="2:18"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</row>
    <row r="3" spans="2:18" ht="15.75">
      <c r="B3" s="434" t="s">
        <v>473</v>
      </c>
      <c r="C3" s="433"/>
      <c r="D3" s="433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</row>
    <row r="4" spans="2:18" ht="15.75" thickBot="1"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3"/>
      <c r="Q4" s="423"/>
      <c r="R4" s="423"/>
    </row>
    <row r="5" spans="2:18" ht="17.25" thickTop="1" thickBot="1">
      <c r="B5" s="1023" t="s">
        <v>376</v>
      </c>
      <c r="C5" s="1029" t="s">
        <v>496</v>
      </c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1030"/>
    </row>
    <row r="6" spans="2:18" ht="18" customHeight="1" thickTop="1">
      <c r="B6" s="1024"/>
      <c r="C6" s="974" t="s">
        <v>113</v>
      </c>
      <c r="D6" s="976" t="s">
        <v>60</v>
      </c>
      <c r="E6" s="978" t="s">
        <v>377</v>
      </c>
      <c r="F6" s="979"/>
      <c r="G6" s="979"/>
      <c r="H6" s="979"/>
      <c r="I6" s="979"/>
      <c r="J6" s="979"/>
      <c r="K6" s="979"/>
      <c r="L6" s="980"/>
      <c r="M6" s="978" t="s">
        <v>378</v>
      </c>
      <c r="N6" s="979"/>
      <c r="O6" s="979"/>
      <c r="P6" s="979"/>
      <c r="Q6" s="981"/>
      <c r="R6" s="960" t="s">
        <v>379</v>
      </c>
    </row>
    <row r="7" spans="2:18" ht="38.25" customHeight="1" thickBot="1">
      <c r="B7" s="1025"/>
      <c r="C7" s="975"/>
      <c r="D7" s="977"/>
      <c r="E7" s="427" t="s">
        <v>458</v>
      </c>
      <c r="F7" s="427" t="s">
        <v>380</v>
      </c>
      <c r="G7" s="427" t="s">
        <v>59</v>
      </c>
      <c r="H7" s="427" t="s">
        <v>81</v>
      </c>
      <c r="I7" s="427" t="s">
        <v>19</v>
      </c>
      <c r="J7" s="427" t="s">
        <v>459</v>
      </c>
      <c r="K7" s="435" t="s">
        <v>460</v>
      </c>
      <c r="L7" s="435" t="s">
        <v>461</v>
      </c>
      <c r="M7" s="427" t="s">
        <v>463</v>
      </c>
      <c r="N7" s="427" t="s">
        <v>462</v>
      </c>
      <c r="O7" s="427" t="s">
        <v>464</v>
      </c>
      <c r="P7" s="427" t="s">
        <v>465</v>
      </c>
      <c r="Q7" s="428" t="s">
        <v>466</v>
      </c>
      <c r="R7" s="961"/>
    </row>
    <row r="8" spans="2:18" ht="14.25" customHeight="1" thickTop="1">
      <c r="B8" s="436" t="s">
        <v>467</v>
      </c>
      <c r="C8" s="437" t="s">
        <v>381</v>
      </c>
      <c r="D8" s="438"/>
      <c r="E8" s="439"/>
      <c r="F8" s="439"/>
      <c r="G8" s="439"/>
      <c r="H8" s="439"/>
      <c r="I8" s="439"/>
      <c r="J8" s="439"/>
      <c r="K8" s="439"/>
      <c r="L8" s="439"/>
      <c r="M8" s="440"/>
      <c r="N8" s="440"/>
      <c r="O8" s="439"/>
      <c r="P8" s="440"/>
      <c r="Q8" s="441"/>
      <c r="R8" s="442"/>
    </row>
    <row r="9" spans="2:18" ht="14.25" customHeight="1">
      <c r="B9" s="430" t="s">
        <v>468</v>
      </c>
      <c r="C9" s="510">
        <f>'En. elektryczna_2024'!F10</f>
        <v>237.51812000000001</v>
      </c>
      <c r="D9" s="511">
        <f>'Ciepło sieciowe_2024'!G7</f>
        <v>273.59999999999997</v>
      </c>
      <c r="E9" s="511">
        <f>Gaz_2024!H10</f>
        <v>2018.7334073431041</v>
      </c>
      <c r="F9" s="511">
        <v>0</v>
      </c>
      <c r="G9" s="511">
        <v>0</v>
      </c>
      <c r="H9" s="511">
        <v>0</v>
      </c>
      <c r="I9" s="511">
        <v>0</v>
      </c>
      <c r="J9" s="511">
        <v>0</v>
      </c>
      <c r="K9" s="511">
        <f>'Budynki komunalne_2014'!J8</f>
        <v>61.839743999999989</v>
      </c>
      <c r="L9" s="511">
        <v>0</v>
      </c>
      <c r="M9" s="511">
        <v>0</v>
      </c>
      <c r="N9" s="511">
        <v>0</v>
      </c>
      <c r="O9" s="511">
        <v>0</v>
      </c>
      <c r="P9" s="511">
        <v>0</v>
      </c>
      <c r="Q9" s="511">
        <v>0</v>
      </c>
      <c r="R9" s="516">
        <f>SUM(C9:Q9)</f>
        <v>2591.6912713431038</v>
      </c>
    </row>
    <row r="10" spans="2:18" ht="14.25" customHeight="1">
      <c r="B10" s="443" t="s">
        <v>469</v>
      </c>
      <c r="C10" s="510">
        <f>'En. elektryczna_2024'!F8</f>
        <v>8407.3667999999998</v>
      </c>
      <c r="D10" s="511">
        <f>'Ciepło sieciowe_2024'!G8</f>
        <v>31.5</v>
      </c>
      <c r="E10" s="511">
        <f>Gaz_2024!H8</f>
        <v>2154.4066742259201</v>
      </c>
      <c r="F10" s="511">
        <v>0</v>
      </c>
      <c r="G10" s="511">
        <f>'Budynku niekomunalne_2014'!L12</f>
        <v>9.8433468000000008</v>
      </c>
      <c r="H10" s="511">
        <v>0</v>
      </c>
      <c r="I10" s="511">
        <v>0</v>
      </c>
      <c r="J10" s="511">
        <v>0</v>
      </c>
      <c r="K10" s="511">
        <v>0</v>
      </c>
      <c r="L10" s="511">
        <v>0</v>
      </c>
      <c r="M10" s="511">
        <v>0</v>
      </c>
      <c r="N10" s="511">
        <v>0</v>
      </c>
      <c r="O10" s="511">
        <v>0</v>
      </c>
      <c r="P10" s="511">
        <v>0</v>
      </c>
      <c r="Q10" s="511">
        <v>0</v>
      </c>
      <c r="R10" s="516">
        <f t="shared" ref="R10:R13" si="0">SUM(C10:Q10)</f>
        <v>10603.11682102592</v>
      </c>
    </row>
    <row r="11" spans="2:18" ht="14.25" customHeight="1">
      <c r="B11" s="430" t="s">
        <v>312</v>
      </c>
      <c r="C11" s="510">
        <f>'En. elektryczna_2024'!F9</f>
        <v>7461.5329600000005</v>
      </c>
      <c r="D11" s="511">
        <f>'Ciepło sieciowe_2024'!G6</f>
        <v>2527.11</v>
      </c>
      <c r="E11" s="511">
        <f>Gaz_2024!H9</f>
        <v>5138.7964566000001</v>
      </c>
      <c r="F11" s="511">
        <v>0</v>
      </c>
      <c r="G11" s="511">
        <f>'Ciepło_gosp. dom._2024'!J9</f>
        <v>422.06788339669703</v>
      </c>
      <c r="H11" s="511">
        <v>0</v>
      </c>
      <c r="I11" s="511">
        <v>0</v>
      </c>
      <c r="J11" s="511">
        <v>0</v>
      </c>
      <c r="K11" s="511">
        <f>'Ciepło_gosp. dom._2024'!J7</f>
        <v>9616.2201731085679</v>
      </c>
      <c r="L11" s="511">
        <v>0</v>
      </c>
      <c r="M11" s="511">
        <v>0</v>
      </c>
      <c r="N11" s="511">
        <v>0</v>
      </c>
      <c r="O11" s="511">
        <v>0</v>
      </c>
      <c r="P11" s="511">
        <v>0</v>
      </c>
      <c r="Q11" s="511">
        <v>0</v>
      </c>
      <c r="R11" s="516">
        <f t="shared" si="0"/>
        <v>25165.727473105268</v>
      </c>
    </row>
    <row r="12" spans="2:18" ht="30" customHeight="1">
      <c r="B12" s="430" t="s">
        <v>389</v>
      </c>
      <c r="C12" s="510">
        <f>'En. elektryczna_2024'!F11</f>
        <v>1040.9840000000002</v>
      </c>
      <c r="D12" s="511">
        <v>0</v>
      </c>
      <c r="E12" s="511">
        <v>0</v>
      </c>
      <c r="F12" s="511">
        <v>0</v>
      </c>
      <c r="G12" s="511">
        <v>0</v>
      </c>
      <c r="H12" s="511">
        <v>0</v>
      </c>
      <c r="I12" s="511">
        <v>0</v>
      </c>
      <c r="J12" s="511">
        <v>0</v>
      </c>
      <c r="K12" s="511">
        <v>0</v>
      </c>
      <c r="L12" s="511">
        <v>0</v>
      </c>
      <c r="M12" s="511">
        <v>0</v>
      </c>
      <c r="N12" s="511">
        <v>0</v>
      </c>
      <c r="O12" s="511">
        <v>0</v>
      </c>
      <c r="P12" s="511">
        <v>0</v>
      </c>
      <c r="Q12" s="511">
        <v>0</v>
      </c>
      <c r="R12" s="516">
        <f t="shared" si="0"/>
        <v>1040.9840000000002</v>
      </c>
    </row>
    <row r="13" spans="2:18" ht="14.25" customHeight="1">
      <c r="B13" s="444" t="s">
        <v>470</v>
      </c>
      <c r="C13" s="510">
        <f>'En. elektryczna_2024'!F7</f>
        <v>4184.7637999999997</v>
      </c>
      <c r="D13" s="511">
        <f>'Ciepło sieciowe_2024'!G5</f>
        <v>0</v>
      </c>
      <c r="E13" s="511">
        <f>Gaz_2024!H7</f>
        <v>106.26725422023999</v>
      </c>
      <c r="F13" s="511">
        <v>0</v>
      </c>
      <c r="G13" s="511">
        <v>0</v>
      </c>
      <c r="H13" s="511">
        <v>0</v>
      </c>
      <c r="I13" s="511">
        <v>0</v>
      </c>
      <c r="J13" s="511">
        <v>0</v>
      </c>
      <c r="K13" s="511">
        <v>0</v>
      </c>
      <c r="L13" s="511">
        <v>0</v>
      </c>
      <c r="M13" s="511">
        <v>0</v>
      </c>
      <c r="N13" s="511">
        <v>0</v>
      </c>
      <c r="O13" s="511">
        <v>0</v>
      </c>
      <c r="P13" s="511">
        <v>0</v>
      </c>
      <c r="Q13" s="511">
        <v>0</v>
      </c>
      <c r="R13" s="516">
        <f t="shared" si="0"/>
        <v>4291.0310542202396</v>
      </c>
    </row>
    <row r="14" spans="2:18" ht="30.75" customHeight="1" thickBot="1">
      <c r="B14" s="542" t="s">
        <v>471</v>
      </c>
      <c r="C14" s="517">
        <f>SUM(C9:C13)</f>
        <v>21332.165680000002</v>
      </c>
      <c r="D14" s="517">
        <f t="shared" ref="D14:R14" si="1">SUM(D9:D13)</f>
        <v>2832.21</v>
      </c>
      <c r="E14" s="517">
        <f>SUM(E9:E13)</f>
        <v>9418.203792389264</v>
      </c>
      <c r="F14" s="517">
        <f t="shared" si="1"/>
        <v>0</v>
      </c>
      <c r="G14" s="517">
        <f t="shared" si="1"/>
        <v>431.91123019669703</v>
      </c>
      <c r="H14" s="517">
        <f t="shared" si="1"/>
        <v>0</v>
      </c>
      <c r="I14" s="517">
        <f t="shared" si="1"/>
        <v>0</v>
      </c>
      <c r="J14" s="517">
        <f t="shared" si="1"/>
        <v>0</v>
      </c>
      <c r="K14" s="517">
        <f t="shared" si="1"/>
        <v>9678.0599171085687</v>
      </c>
      <c r="L14" s="517">
        <f t="shared" si="1"/>
        <v>0</v>
      </c>
      <c r="M14" s="517">
        <f t="shared" si="1"/>
        <v>0</v>
      </c>
      <c r="N14" s="517">
        <f t="shared" si="1"/>
        <v>0</v>
      </c>
      <c r="O14" s="517">
        <f t="shared" si="1"/>
        <v>0</v>
      </c>
      <c r="P14" s="517">
        <f t="shared" si="1"/>
        <v>0</v>
      </c>
      <c r="Q14" s="543">
        <f t="shared" si="1"/>
        <v>0</v>
      </c>
      <c r="R14" s="518">
        <f t="shared" si="1"/>
        <v>43692.550619694528</v>
      </c>
    </row>
    <row r="15" spans="2:18" ht="14.25" customHeight="1">
      <c r="B15" s="436" t="s">
        <v>384</v>
      </c>
      <c r="C15" s="544"/>
      <c r="D15" s="545"/>
      <c r="E15" s="545"/>
      <c r="F15" s="545"/>
      <c r="G15" s="545"/>
      <c r="H15" s="545"/>
      <c r="I15" s="545"/>
      <c r="J15" s="545"/>
      <c r="K15" s="545"/>
      <c r="L15" s="545"/>
      <c r="M15" s="546"/>
      <c r="N15" s="546"/>
      <c r="O15" s="545"/>
      <c r="P15" s="546"/>
      <c r="Q15" s="547"/>
      <c r="R15" s="548"/>
    </row>
    <row r="16" spans="2:18" ht="14.25" customHeight="1">
      <c r="B16" s="430" t="s">
        <v>348</v>
      </c>
      <c r="C16" s="510">
        <v>0</v>
      </c>
      <c r="D16" s="510">
        <v>0</v>
      </c>
      <c r="E16" s="510">
        <v>0</v>
      </c>
      <c r="F16" s="511">
        <f>'Tabor gminny_2024'!F24</f>
        <v>8.6332824507686396</v>
      </c>
      <c r="G16" s="511">
        <v>0</v>
      </c>
      <c r="H16" s="511">
        <f>'Tabor gminny_2024'!F24</f>
        <v>8.6332824507686396</v>
      </c>
      <c r="I16" s="511">
        <f>'Tabor gminny_2024'!F22</f>
        <v>69.360005088460795</v>
      </c>
      <c r="J16" s="511">
        <v>0</v>
      </c>
      <c r="K16" s="511">
        <v>0</v>
      </c>
      <c r="L16" s="511">
        <v>0</v>
      </c>
      <c r="M16" s="511">
        <v>0</v>
      </c>
      <c r="N16" s="511">
        <v>0</v>
      </c>
      <c r="O16" s="511">
        <v>0</v>
      </c>
      <c r="P16" s="511">
        <v>0</v>
      </c>
      <c r="Q16" s="511">
        <v>0</v>
      </c>
      <c r="R16" s="516">
        <f>SUM(C16:Q16)</f>
        <v>86.626569989998075</v>
      </c>
    </row>
    <row r="17" spans="1:18" ht="14.25" customHeight="1">
      <c r="B17" s="430" t="s">
        <v>513</v>
      </c>
      <c r="C17" s="510">
        <v>0</v>
      </c>
      <c r="D17" s="510">
        <v>0</v>
      </c>
      <c r="E17" s="510">
        <v>0</v>
      </c>
      <c r="F17" s="511">
        <f>'Transport kom. autobusy_2024'!G15</f>
        <v>0</v>
      </c>
      <c r="G17" s="511">
        <v>0</v>
      </c>
      <c r="H17" s="511">
        <f>'Transport kom. autobusy_2024'!G14</f>
        <v>32.594290813980002</v>
      </c>
      <c r="I17" s="511">
        <f>'Transport kom. autobusy_2024'!G13</f>
        <v>0</v>
      </c>
      <c r="J17" s="511">
        <v>0</v>
      </c>
      <c r="K17" s="511">
        <v>0</v>
      </c>
      <c r="L17" s="511">
        <v>0</v>
      </c>
      <c r="M17" s="511">
        <v>0</v>
      </c>
      <c r="N17" s="511">
        <v>0</v>
      </c>
      <c r="O17" s="511">
        <v>0</v>
      </c>
      <c r="P17" s="511">
        <v>0</v>
      </c>
      <c r="Q17" s="511">
        <v>0</v>
      </c>
      <c r="R17" s="516">
        <f t="shared" ref="R17:R20" si="2">SUM(C17:Q17)</f>
        <v>32.594290813980002</v>
      </c>
    </row>
    <row r="18" spans="1:18" ht="14.25" customHeight="1">
      <c r="B18" s="430" t="s">
        <v>356</v>
      </c>
      <c r="C18" s="510">
        <v>0</v>
      </c>
      <c r="D18" s="510">
        <v>0</v>
      </c>
      <c r="E18" s="510">
        <v>0</v>
      </c>
      <c r="F18" s="511">
        <f>'Transport prywatny_2024'!G18</f>
        <v>90.583369747611854</v>
      </c>
      <c r="G18" s="511">
        <v>0</v>
      </c>
      <c r="H18" s="511">
        <f>'Transport prywatny_2024'!G17</f>
        <v>8273.3017321081643</v>
      </c>
      <c r="I18" s="511">
        <f>'Transport prywatny_2024'!G16</f>
        <v>1745.9264605129115</v>
      </c>
      <c r="J18" s="511">
        <v>0</v>
      </c>
      <c r="K18" s="511">
        <v>0</v>
      </c>
      <c r="L18" s="511">
        <v>0</v>
      </c>
      <c r="M18" s="511">
        <v>0</v>
      </c>
      <c r="N18" s="511">
        <v>0</v>
      </c>
      <c r="O18" s="511">
        <v>0</v>
      </c>
      <c r="P18" s="511">
        <v>0</v>
      </c>
      <c r="Q18" s="511">
        <v>0</v>
      </c>
      <c r="R18" s="516">
        <f t="shared" si="2"/>
        <v>10109.811562368688</v>
      </c>
    </row>
    <row r="19" spans="1:18" ht="14.25" customHeight="1">
      <c r="A19" s="285" t="s">
        <v>591</v>
      </c>
      <c r="B19" s="667"/>
      <c r="C19" s="510">
        <v>0</v>
      </c>
      <c r="D19" s="510">
        <v>0</v>
      </c>
      <c r="E19" s="510">
        <v>0</v>
      </c>
      <c r="F19" s="511">
        <v>0</v>
      </c>
      <c r="G19" s="511">
        <v>0</v>
      </c>
      <c r="H19" s="511">
        <v>0</v>
      </c>
      <c r="I19" s="511">
        <v>0</v>
      </c>
      <c r="J19" s="511">
        <v>0</v>
      </c>
      <c r="K19" s="511">
        <v>0</v>
      </c>
      <c r="L19" s="511">
        <v>0</v>
      </c>
      <c r="M19" s="511">
        <v>0</v>
      </c>
      <c r="N19" s="511">
        <v>0</v>
      </c>
      <c r="O19" s="511">
        <v>0</v>
      </c>
      <c r="P19" s="511">
        <v>0</v>
      </c>
      <c r="Q19" s="511">
        <v>0</v>
      </c>
      <c r="R19" s="516">
        <v>0</v>
      </c>
    </row>
    <row r="20" spans="1:18" ht="14.25" customHeight="1">
      <c r="B20" s="430" t="s">
        <v>497</v>
      </c>
      <c r="C20" s="510">
        <v>0</v>
      </c>
      <c r="D20" s="510">
        <v>0</v>
      </c>
      <c r="E20" s="510">
        <v>0</v>
      </c>
      <c r="F20" s="511">
        <f>'Transport komercyjny_2020'!G18</f>
        <v>0</v>
      </c>
      <c r="G20" s="511">
        <v>0</v>
      </c>
      <c r="H20" s="511">
        <f>'Transport komercyjny_2024'!G17</f>
        <v>1889.0590846666394</v>
      </c>
      <c r="I20" s="511">
        <f>'Transport komercyjny_2024'!G16</f>
        <v>786.24920173141084</v>
      </c>
      <c r="J20" s="511">
        <v>0</v>
      </c>
      <c r="K20" s="511">
        <v>0</v>
      </c>
      <c r="L20" s="511">
        <v>0</v>
      </c>
      <c r="M20" s="511">
        <v>0</v>
      </c>
      <c r="N20" s="511">
        <v>0</v>
      </c>
      <c r="O20" s="511">
        <v>0</v>
      </c>
      <c r="P20" s="511">
        <v>0</v>
      </c>
      <c r="Q20" s="511">
        <v>0</v>
      </c>
      <c r="R20" s="516">
        <f t="shared" si="2"/>
        <v>2675.3082863980503</v>
      </c>
    </row>
    <row r="21" spans="1:18" ht="14.25" customHeight="1" thickBot="1">
      <c r="B21" s="450" t="s">
        <v>472</v>
      </c>
      <c r="C21" s="517">
        <f t="shared" ref="C21:R21" si="3">SUM(C16:C20)</f>
        <v>0</v>
      </c>
      <c r="D21" s="517">
        <f t="shared" si="3"/>
        <v>0</v>
      </c>
      <c r="E21" s="517">
        <f t="shared" si="3"/>
        <v>0</v>
      </c>
      <c r="F21" s="517">
        <f t="shared" si="3"/>
        <v>99.216652198380501</v>
      </c>
      <c r="G21" s="517">
        <f t="shared" si="3"/>
        <v>0</v>
      </c>
      <c r="H21" s="517">
        <f t="shared" si="3"/>
        <v>10203.588390039553</v>
      </c>
      <c r="I21" s="517">
        <f>SUM(I16:I20)</f>
        <v>2601.5356673327833</v>
      </c>
      <c r="J21" s="517">
        <f t="shared" si="3"/>
        <v>0</v>
      </c>
      <c r="K21" s="517">
        <f t="shared" si="3"/>
        <v>0</v>
      </c>
      <c r="L21" s="517">
        <f t="shared" si="3"/>
        <v>0</v>
      </c>
      <c r="M21" s="517">
        <f t="shared" si="3"/>
        <v>0</v>
      </c>
      <c r="N21" s="517">
        <f t="shared" si="3"/>
        <v>0</v>
      </c>
      <c r="O21" s="517">
        <f t="shared" si="3"/>
        <v>0</v>
      </c>
      <c r="P21" s="517">
        <f t="shared" si="3"/>
        <v>0</v>
      </c>
      <c r="Q21" s="517">
        <f t="shared" si="3"/>
        <v>0</v>
      </c>
      <c r="R21" s="517">
        <f t="shared" si="3"/>
        <v>12904.340709570717</v>
      </c>
    </row>
    <row r="22" spans="1:18" ht="14.25" customHeight="1">
      <c r="B22" s="451" t="s">
        <v>474</v>
      </c>
      <c r="C22" s="452"/>
      <c r="D22" s="446"/>
      <c r="E22" s="446"/>
      <c r="F22" s="446"/>
      <c r="G22" s="446"/>
      <c r="H22" s="446"/>
      <c r="I22" s="446"/>
      <c r="J22" s="446"/>
      <c r="K22" s="446"/>
      <c r="L22" s="446"/>
      <c r="M22" s="447"/>
      <c r="N22" s="447"/>
      <c r="O22" s="446"/>
      <c r="P22" s="447"/>
      <c r="Q22" s="448"/>
      <c r="R22" s="449"/>
    </row>
    <row r="23" spans="1:18" ht="14.25" customHeight="1">
      <c r="B23" s="453" t="s">
        <v>475</v>
      </c>
      <c r="C23" s="1000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2"/>
      <c r="R23" s="454"/>
    </row>
    <row r="24" spans="1:18" ht="14.25" customHeight="1" thickBot="1">
      <c r="B24" s="455" t="s">
        <v>476</v>
      </c>
      <c r="C24" s="1003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5"/>
      <c r="R24" s="456"/>
    </row>
    <row r="25" spans="1:18" ht="14.25" customHeight="1" thickTop="1" thickBot="1">
      <c r="B25" s="457" t="s">
        <v>379</v>
      </c>
      <c r="C25" s="521">
        <f t="shared" ref="C25:Q25" si="4">C14+C21</f>
        <v>21332.165680000002</v>
      </c>
      <c r="D25" s="521">
        <f t="shared" si="4"/>
        <v>2832.21</v>
      </c>
      <c r="E25" s="521">
        <f t="shared" si="4"/>
        <v>9418.203792389264</v>
      </c>
      <c r="F25" s="521">
        <f t="shared" si="4"/>
        <v>99.216652198380501</v>
      </c>
      <c r="G25" s="521">
        <f t="shared" si="4"/>
        <v>431.91123019669703</v>
      </c>
      <c r="H25" s="521">
        <f t="shared" si="4"/>
        <v>10203.588390039553</v>
      </c>
      <c r="I25" s="521">
        <f t="shared" si="4"/>
        <v>2601.5356673327833</v>
      </c>
      <c r="J25" s="521">
        <f t="shared" si="4"/>
        <v>0</v>
      </c>
      <c r="K25" s="521">
        <f t="shared" si="4"/>
        <v>9678.0599171085687</v>
      </c>
      <c r="L25" s="521">
        <f t="shared" si="4"/>
        <v>0</v>
      </c>
      <c r="M25" s="521">
        <f t="shared" si="4"/>
        <v>0</v>
      </c>
      <c r="N25" s="521">
        <f t="shared" si="4"/>
        <v>0</v>
      </c>
      <c r="O25" s="521">
        <f t="shared" si="4"/>
        <v>0</v>
      </c>
      <c r="P25" s="521">
        <f t="shared" si="4"/>
        <v>0</v>
      </c>
      <c r="Q25" s="522">
        <f t="shared" si="4"/>
        <v>0</v>
      </c>
      <c r="R25" s="521">
        <f>R14+R21</f>
        <v>56596.891329265243</v>
      </c>
    </row>
    <row r="26" spans="1:18" ht="14.25" customHeight="1" thickTop="1" thickBot="1">
      <c r="B26" s="433"/>
      <c r="C26" s="458"/>
      <c r="D26" s="458"/>
      <c r="E26" s="459"/>
      <c r="F26" s="459"/>
      <c r="G26" s="459"/>
      <c r="H26" s="459"/>
      <c r="I26" s="459"/>
      <c r="J26" s="459"/>
      <c r="K26" s="459"/>
      <c r="L26" s="459"/>
      <c r="M26" s="459"/>
      <c r="N26" s="459"/>
      <c r="O26" s="459"/>
      <c r="P26" s="459"/>
      <c r="Q26" s="459"/>
      <c r="R26" s="459"/>
    </row>
    <row r="27" spans="1:18" ht="29.25" customHeight="1" thickTop="1" thickBot="1">
      <c r="B27" s="460" t="s">
        <v>477</v>
      </c>
      <c r="C27" s="461"/>
      <c r="D27" s="462"/>
      <c r="E27" s="462"/>
      <c r="F27" s="463"/>
      <c r="G27" s="464"/>
      <c r="H27" s="462"/>
      <c r="I27" s="462"/>
      <c r="J27" s="463"/>
      <c r="K27" s="462"/>
      <c r="L27" s="462"/>
      <c r="M27" s="462"/>
      <c r="N27" s="463"/>
      <c r="O27" s="464"/>
      <c r="P27" s="462"/>
      <c r="Q27" s="465"/>
      <c r="R27" s="459"/>
    </row>
    <row r="28" spans="1:18" ht="48.75" customHeight="1" thickTop="1" thickBot="1">
      <c r="B28" s="466" t="s">
        <v>478</v>
      </c>
      <c r="C28" s="467"/>
      <c r="D28" s="468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669"/>
    </row>
    <row r="29" spans="1:18" ht="14.25" customHeight="1" thickTop="1">
      <c r="B29" s="519"/>
      <c r="C29" s="520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59"/>
    </row>
    <row r="30" spans="1:18" ht="14.25" customHeight="1" thickBot="1">
      <c r="B30" s="519"/>
      <c r="C30" s="520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59"/>
    </row>
    <row r="31" spans="1:18" ht="21.75" customHeight="1" thickTop="1" thickBot="1">
      <c r="B31" s="1023" t="s">
        <v>376</v>
      </c>
      <c r="C31" s="1026" t="s">
        <v>600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8"/>
    </row>
    <row r="32" spans="1:18" ht="27.75" customHeight="1" thickTop="1">
      <c r="B32" s="1024"/>
      <c r="C32" s="974" t="s">
        <v>113</v>
      </c>
      <c r="D32" s="976" t="s">
        <v>60</v>
      </c>
      <c r="E32" s="978" t="s">
        <v>377</v>
      </c>
      <c r="F32" s="979"/>
      <c r="G32" s="979"/>
      <c r="H32" s="979"/>
      <c r="I32" s="979"/>
      <c r="J32" s="979"/>
      <c r="K32" s="979"/>
      <c r="L32" s="980"/>
      <c r="M32" s="978" t="s">
        <v>378</v>
      </c>
      <c r="N32" s="979"/>
      <c r="O32" s="979"/>
      <c r="P32" s="979"/>
      <c r="Q32" s="981"/>
      <c r="R32" s="960" t="s">
        <v>379</v>
      </c>
    </row>
    <row r="33" spans="1:20" ht="39" customHeight="1" thickBot="1">
      <c r="B33" s="1025"/>
      <c r="C33" s="975"/>
      <c r="D33" s="977"/>
      <c r="E33" s="427" t="s">
        <v>458</v>
      </c>
      <c r="F33" s="427" t="s">
        <v>380</v>
      </c>
      <c r="G33" s="427" t="s">
        <v>59</v>
      </c>
      <c r="H33" s="427" t="s">
        <v>81</v>
      </c>
      <c r="I33" s="427" t="s">
        <v>19</v>
      </c>
      <c r="J33" s="427" t="s">
        <v>459</v>
      </c>
      <c r="K33" s="435" t="s">
        <v>460</v>
      </c>
      <c r="L33" s="435" t="s">
        <v>461</v>
      </c>
      <c r="M33" s="427" t="s">
        <v>463</v>
      </c>
      <c r="N33" s="427" t="s">
        <v>462</v>
      </c>
      <c r="O33" s="427" t="s">
        <v>464</v>
      </c>
      <c r="P33" s="427" t="s">
        <v>465</v>
      </c>
      <c r="Q33" s="428" t="s">
        <v>466</v>
      </c>
      <c r="R33" s="961"/>
    </row>
    <row r="34" spans="1:20" ht="20.25" customHeight="1" thickTop="1">
      <c r="B34" s="436" t="s">
        <v>467</v>
      </c>
      <c r="C34" s="437" t="s">
        <v>381</v>
      </c>
      <c r="D34" s="438"/>
      <c r="E34" s="439"/>
      <c r="F34" s="439"/>
      <c r="G34" s="439"/>
      <c r="H34" s="439"/>
      <c r="I34" s="439"/>
      <c r="J34" s="439"/>
      <c r="K34" s="439"/>
      <c r="L34" s="439"/>
      <c r="M34" s="440"/>
      <c r="N34" s="440"/>
      <c r="O34" s="439"/>
      <c r="P34" s="440"/>
      <c r="Q34" s="441"/>
      <c r="R34" s="442"/>
      <c r="T34" s="286">
        <f>R40-R14</f>
        <v>1102.441763077215</v>
      </c>
    </row>
    <row r="35" spans="1:20" ht="20.25" customHeight="1">
      <c r="B35" s="430" t="s">
        <v>468</v>
      </c>
      <c r="C35" s="510">
        <f>'Budynki komunalne_2014'!N6</f>
        <v>243.65511999999998</v>
      </c>
      <c r="D35" s="511">
        <f>'Ciepło sieciowe_2024'!G13</f>
        <v>273.59999999999997</v>
      </c>
      <c r="E35" s="511">
        <f>Gaz_2024!H19</f>
        <v>2018.7334073431041</v>
      </c>
      <c r="F35" s="511">
        <v>0</v>
      </c>
      <c r="G35" s="511">
        <v>0</v>
      </c>
      <c r="H35" s="511">
        <v>0</v>
      </c>
      <c r="I35" s="511">
        <v>0</v>
      </c>
      <c r="J35" s="511">
        <v>0</v>
      </c>
      <c r="K35" s="511">
        <f>'Budynki komunalne_2014'!J8</f>
        <v>61.839743999999989</v>
      </c>
      <c r="L35" s="511">
        <v>0</v>
      </c>
      <c r="M35" s="511">
        <v>0</v>
      </c>
      <c r="N35" s="511">
        <v>0</v>
      </c>
      <c r="O35" s="511">
        <v>0</v>
      </c>
      <c r="P35" s="511">
        <v>0</v>
      </c>
      <c r="Q35" s="511">
        <v>0</v>
      </c>
      <c r="R35" s="516">
        <f>SUM(C35:Q35)</f>
        <v>2597.828271343104</v>
      </c>
    </row>
    <row r="36" spans="1:20" ht="14.25" customHeight="1">
      <c r="B36" s="443" t="s">
        <v>469</v>
      </c>
      <c r="C36" s="510">
        <f>'En. elektryczna_2024'!F17</f>
        <v>8247.36093870697</v>
      </c>
      <c r="D36" s="511">
        <f>'Ciepło sieciowe_2024'!G14</f>
        <v>51.75</v>
      </c>
      <c r="E36" s="511">
        <f>Gaz_2024!H17</f>
        <v>2113.4048119680519</v>
      </c>
      <c r="F36" s="511">
        <v>0</v>
      </c>
      <c r="G36" s="511">
        <f>'Budynku niekomunalne_2014'!L12</f>
        <v>9.8433468000000008</v>
      </c>
      <c r="H36" s="511">
        <v>0</v>
      </c>
      <c r="I36" s="511">
        <v>0</v>
      </c>
      <c r="J36" s="511">
        <v>0</v>
      </c>
      <c r="K36" s="511">
        <v>0</v>
      </c>
      <c r="L36" s="511">
        <v>0</v>
      </c>
      <c r="M36" s="511">
        <v>0</v>
      </c>
      <c r="N36" s="511">
        <v>0</v>
      </c>
      <c r="O36" s="511">
        <v>0</v>
      </c>
      <c r="P36" s="511">
        <v>0</v>
      </c>
      <c r="Q36" s="511">
        <v>0</v>
      </c>
      <c r="R36" s="516">
        <f t="shared" ref="R36:R39" si="5">SUM(C36:Q36)</f>
        <v>10422.359097475022</v>
      </c>
    </row>
    <row r="37" spans="1:20" ht="14.25" customHeight="1">
      <c r="B37" s="430" t="s">
        <v>312</v>
      </c>
      <c r="C37" s="510">
        <f>'En. elektryczna_2024'!F18</f>
        <v>7319.5278546879381</v>
      </c>
      <c r="D37" s="511">
        <f>'Ciepło sieciowe_2024'!G12</f>
        <v>2846.0699999999997</v>
      </c>
      <c r="E37" s="511">
        <f>Gaz_2024!H18</f>
        <v>5040.9968039135183</v>
      </c>
      <c r="F37" s="511">
        <v>0</v>
      </c>
      <c r="G37" s="511">
        <f>'Ciepło_gosp. dom._2024'!J18</f>
        <v>475.3450967918406</v>
      </c>
      <c r="H37" s="511">
        <v>0</v>
      </c>
      <c r="I37" s="511">
        <v>0</v>
      </c>
      <c r="J37" s="511">
        <v>0</v>
      </c>
      <c r="K37" s="511">
        <f>'Ciepło_gosp. dom._2024'!J16</f>
        <v>10830.066178386967</v>
      </c>
      <c r="L37" s="511">
        <v>0</v>
      </c>
      <c r="M37" s="511">
        <v>0</v>
      </c>
      <c r="N37" s="511">
        <v>0</v>
      </c>
      <c r="O37" s="511">
        <v>0</v>
      </c>
      <c r="P37" s="511">
        <v>0</v>
      </c>
      <c r="Q37" s="511">
        <v>0</v>
      </c>
      <c r="R37" s="516">
        <f t="shared" si="5"/>
        <v>26512.005933780263</v>
      </c>
    </row>
    <row r="38" spans="1:20" ht="14.25" customHeight="1">
      <c r="B38" s="430" t="s">
        <v>389</v>
      </c>
      <c r="C38" s="510">
        <f>'En. elektryczna_2024'!F20</f>
        <v>1053.433324494107</v>
      </c>
      <c r="D38" s="511">
        <f>'Oświetlenie komunalne_2024'!E33</f>
        <v>0</v>
      </c>
      <c r="E38" s="511">
        <v>0</v>
      </c>
      <c r="F38" s="511">
        <v>0</v>
      </c>
      <c r="G38" s="511">
        <v>0</v>
      </c>
      <c r="H38" s="511">
        <v>0</v>
      </c>
      <c r="I38" s="511">
        <v>0</v>
      </c>
      <c r="J38" s="511">
        <v>0</v>
      </c>
      <c r="K38" s="511">
        <v>0</v>
      </c>
      <c r="L38" s="511">
        <v>0</v>
      </c>
      <c r="M38" s="511">
        <v>0</v>
      </c>
      <c r="N38" s="511">
        <v>0</v>
      </c>
      <c r="O38" s="511">
        <v>0</v>
      </c>
      <c r="P38" s="511">
        <v>0</v>
      </c>
      <c r="Q38" s="511">
        <v>0</v>
      </c>
      <c r="R38" s="516">
        <f t="shared" si="5"/>
        <v>1053.433324494107</v>
      </c>
    </row>
    <row r="39" spans="1:20" ht="14.25" customHeight="1">
      <c r="B39" s="444" t="s">
        <v>470</v>
      </c>
      <c r="C39" s="510">
        <f>'En. elektryczna_2024'!F16</f>
        <v>4105.1209401063534</v>
      </c>
      <c r="D39" s="511">
        <f>'Ciepło sieciowe_2024'!G11</f>
        <v>0</v>
      </c>
      <c r="E39" s="511">
        <f>Gaz_2024!H16</f>
        <v>104.24481557289147</v>
      </c>
      <c r="F39" s="511">
        <v>0</v>
      </c>
      <c r="G39" s="511">
        <v>0</v>
      </c>
      <c r="H39" s="511">
        <v>0</v>
      </c>
      <c r="I39" s="511">
        <v>0</v>
      </c>
      <c r="J39" s="511">
        <v>0</v>
      </c>
      <c r="K39" s="511">
        <v>0</v>
      </c>
      <c r="L39" s="511">
        <v>0</v>
      </c>
      <c r="M39" s="511">
        <v>0</v>
      </c>
      <c r="N39" s="511">
        <v>0</v>
      </c>
      <c r="O39" s="511">
        <v>0</v>
      </c>
      <c r="P39" s="511">
        <v>0</v>
      </c>
      <c r="Q39" s="511">
        <v>0</v>
      </c>
      <c r="R39" s="516">
        <f t="shared" si="5"/>
        <v>4209.365755679245</v>
      </c>
    </row>
    <row r="40" spans="1:20" ht="14.25" customHeight="1" thickBot="1">
      <c r="B40" s="445" t="s">
        <v>471</v>
      </c>
      <c r="C40" s="517">
        <f>SUM(C35:C39)</f>
        <v>20969.098177995369</v>
      </c>
      <c r="D40" s="517">
        <f t="shared" ref="D40:R40" si="6">SUM(D35:D39)</f>
        <v>3171.4199999999996</v>
      </c>
      <c r="E40" s="517">
        <f t="shared" si="6"/>
        <v>9277.3798387975639</v>
      </c>
      <c r="F40" s="517">
        <f t="shared" si="6"/>
        <v>0</v>
      </c>
      <c r="G40" s="517">
        <f t="shared" si="6"/>
        <v>485.18844359184061</v>
      </c>
      <c r="H40" s="517">
        <f t="shared" si="6"/>
        <v>0</v>
      </c>
      <c r="I40" s="517">
        <f t="shared" si="6"/>
        <v>0</v>
      </c>
      <c r="J40" s="517">
        <f t="shared" si="6"/>
        <v>0</v>
      </c>
      <c r="K40" s="517">
        <f t="shared" si="6"/>
        <v>10891.905922386968</v>
      </c>
      <c r="L40" s="517">
        <f t="shared" si="6"/>
        <v>0</v>
      </c>
      <c r="M40" s="517">
        <f t="shared" si="6"/>
        <v>0</v>
      </c>
      <c r="N40" s="517">
        <f t="shared" si="6"/>
        <v>0</v>
      </c>
      <c r="O40" s="517">
        <f t="shared" si="6"/>
        <v>0</v>
      </c>
      <c r="P40" s="517">
        <f t="shared" si="6"/>
        <v>0</v>
      </c>
      <c r="Q40" s="543">
        <f t="shared" si="6"/>
        <v>0</v>
      </c>
      <c r="R40" s="518">
        <f t="shared" si="6"/>
        <v>44794.992382771743</v>
      </c>
    </row>
    <row r="41" spans="1:20" ht="14.25" customHeight="1">
      <c r="B41" s="436" t="s">
        <v>384</v>
      </c>
      <c r="C41" s="544"/>
      <c r="D41" s="545"/>
      <c r="E41" s="545"/>
      <c r="F41" s="545"/>
      <c r="G41" s="545"/>
      <c r="H41" s="545"/>
      <c r="I41" s="545"/>
      <c r="J41" s="545"/>
      <c r="K41" s="545"/>
      <c r="L41" s="545"/>
      <c r="M41" s="546"/>
      <c r="N41" s="546"/>
      <c r="O41" s="545"/>
      <c r="P41" s="546"/>
      <c r="Q41" s="547"/>
      <c r="R41" s="548"/>
    </row>
    <row r="42" spans="1:20" ht="14.25" customHeight="1">
      <c r="B42" s="430" t="s">
        <v>348</v>
      </c>
      <c r="C42" s="510">
        <v>0</v>
      </c>
      <c r="D42" s="510">
        <v>0</v>
      </c>
      <c r="E42" s="510">
        <v>0</v>
      </c>
      <c r="F42" s="510">
        <f>'Tabor gminny_2024'!$F$49</f>
        <v>8.6332824507686396</v>
      </c>
      <c r="G42" s="511">
        <v>0</v>
      </c>
      <c r="H42" s="511">
        <f>'Tabor gminny_2024'!$F$49</f>
        <v>8.6332824507686396</v>
      </c>
      <c r="I42" s="511">
        <f>'Tabor gminny_2024'!$F$47</f>
        <v>69.360005088460795</v>
      </c>
      <c r="J42" s="511">
        <v>0</v>
      </c>
      <c r="K42" s="511">
        <v>0</v>
      </c>
      <c r="L42" s="511">
        <v>0</v>
      </c>
      <c r="M42" s="511">
        <v>0</v>
      </c>
      <c r="N42" s="511">
        <v>0</v>
      </c>
      <c r="O42" s="511">
        <v>0</v>
      </c>
      <c r="P42" s="511">
        <v>0</v>
      </c>
      <c r="Q42" s="511">
        <v>0</v>
      </c>
      <c r="R42" s="516">
        <f>SUM(C42:Q42)</f>
        <v>86.626569989998075</v>
      </c>
      <c r="T42" s="286"/>
    </row>
    <row r="43" spans="1:20" ht="14.25" customHeight="1">
      <c r="B43" s="430" t="str">
        <f>B17</f>
        <v>Transport komercyjny autobusy</v>
      </c>
      <c r="C43" s="510">
        <v>0</v>
      </c>
      <c r="D43" s="510">
        <v>0</v>
      </c>
      <c r="E43" s="510">
        <v>0</v>
      </c>
      <c r="F43" s="510">
        <f>'Transport kom. autobusy_2024'!$F$27</f>
        <v>0</v>
      </c>
      <c r="G43" s="511">
        <v>0</v>
      </c>
      <c r="H43" s="511">
        <f>'Transport kom. autobusy_2024'!G26</f>
        <v>28.972702945760009</v>
      </c>
      <c r="I43" s="511">
        <f>'Transport kom. autobusy_2024'!$G$25</f>
        <v>0</v>
      </c>
      <c r="J43" s="511">
        <v>0</v>
      </c>
      <c r="K43" s="511">
        <v>0</v>
      </c>
      <c r="L43" s="511">
        <v>0</v>
      </c>
      <c r="M43" s="511">
        <v>0</v>
      </c>
      <c r="N43" s="511">
        <v>0</v>
      </c>
      <c r="O43" s="511">
        <v>0</v>
      </c>
      <c r="P43" s="511">
        <v>0</v>
      </c>
      <c r="Q43" s="511">
        <v>0</v>
      </c>
      <c r="R43" s="516">
        <f t="shared" ref="R43:R46" si="7">SUM(C43:Q43)</f>
        <v>28.972702945760009</v>
      </c>
    </row>
    <row r="44" spans="1:20" ht="14.25" customHeight="1">
      <c r="B44" s="430" t="s">
        <v>356</v>
      </c>
      <c r="C44" s="510">
        <v>0</v>
      </c>
      <c r="D44" s="510">
        <v>0</v>
      </c>
      <c r="E44" s="510">
        <v>0</v>
      </c>
      <c r="F44" s="510">
        <f>'Transport prywatny_2024'!$G$33</f>
        <v>88.859420925099244</v>
      </c>
      <c r="G44" s="511">
        <v>0</v>
      </c>
      <c r="H44" s="511">
        <f>'Transport prywatny_2024'!G32</f>
        <v>8115.8473470582467</v>
      </c>
      <c r="I44" s="511">
        <f>'Transport prywatny_2024'!$G$31</f>
        <v>1712.6986409453552</v>
      </c>
      <c r="J44" s="511">
        <v>0</v>
      </c>
      <c r="K44" s="511">
        <v>0</v>
      </c>
      <c r="L44" s="511">
        <v>0</v>
      </c>
      <c r="M44" s="511">
        <v>0</v>
      </c>
      <c r="N44" s="511">
        <v>0</v>
      </c>
      <c r="O44" s="511">
        <v>0</v>
      </c>
      <c r="P44" s="511">
        <v>0</v>
      </c>
      <c r="Q44" s="511">
        <v>0</v>
      </c>
      <c r="R44" s="516">
        <f t="shared" si="7"/>
        <v>9917.4054089287001</v>
      </c>
    </row>
    <row r="45" spans="1:20" ht="14.25" customHeight="1">
      <c r="A45" s="285" t="s">
        <v>591</v>
      </c>
      <c r="B45" s="430"/>
      <c r="C45" s="510">
        <v>0</v>
      </c>
      <c r="D45" s="510">
        <v>0</v>
      </c>
      <c r="E45" s="510">
        <v>0</v>
      </c>
      <c r="F45" s="510">
        <v>0</v>
      </c>
      <c r="G45" s="511">
        <v>0</v>
      </c>
      <c r="H45" s="511">
        <v>0</v>
      </c>
      <c r="I45" s="511">
        <v>0</v>
      </c>
      <c r="J45" s="511">
        <v>0</v>
      </c>
      <c r="K45" s="511">
        <v>0</v>
      </c>
      <c r="L45" s="511">
        <v>0</v>
      </c>
      <c r="M45" s="511">
        <v>0</v>
      </c>
      <c r="N45" s="511">
        <v>0</v>
      </c>
      <c r="O45" s="511">
        <v>0</v>
      </c>
      <c r="P45" s="511">
        <v>0</v>
      </c>
      <c r="Q45" s="511">
        <v>0</v>
      </c>
      <c r="R45" s="516">
        <v>0</v>
      </c>
    </row>
    <row r="46" spans="1:20" ht="14.25" customHeight="1">
      <c r="B46" s="430" t="s">
        <v>497</v>
      </c>
      <c r="C46" s="510">
        <v>0</v>
      </c>
      <c r="D46" s="510">
        <v>0</v>
      </c>
      <c r="E46" s="510">
        <v>0</v>
      </c>
      <c r="F46" s="510">
        <f>'Transport komercyjny_2020'!$G$33</f>
        <v>0</v>
      </c>
      <c r="G46" s="511">
        <v>0</v>
      </c>
      <c r="H46" s="511">
        <f>'Transport komercyjny_2024'!G32</f>
        <v>1853.1072185156927</v>
      </c>
      <c r="I46" s="511">
        <f>'Transport komercyjny_2024'!G16</f>
        <v>786.24920173141084</v>
      </c>
      <c r="J46" s="511">
        <v>0</v>
      </c>
      <c r="K46" s="511">
        <v>0</v>
      </c>
      <c r="L46" s="511">
        <v>0</v>
      </c>
      <c r="M46" s="511">
        <v>0</v>
      </c>
      <c r="N46" s="511">
        <v>0</v>
      </c>
      <c r="O46" s="511">
        <v>0</v>
      </c>
      <c r="P46" s="511">
        <v>0</v>
      </c>
      <c r="Q46" s="511">
        <v>0</v>
      </c>
      <c r="R46" s="516">
        <f t="shared" si="7"/>
        <v>2639.3564202471034</v>
      </c>
    </row>
    <row r="47" spans="1:20" ht="14.25" customHeight="1" thickBot="1">
      <c r="B47" s="450" t="s">
        <v>472</v>
      </c>
      <c r="C47" s="517">
        <f t="shared" ref="C47:R47" si="8">SUM(C42:C46)</f>
        <v>0</v>
      </c>
      <c r="D47" s="517">
        <f t="shared" si="8"/>
        <v>0</v>
      </c>
      <c r="E47" s="517">
        <f t="shared" si="8"/>
        <v>0</v>
      </c>
      <c r="F47" s="517">
        <f t="shared" si="8"/>
        <v>97.492703375867876</v>
      </c>
      <c r="G47" s="517">
        <f t="shared" si="8"/>
        <v>0</v>
      </c>
      <c r="H47" s="517">
        <f t="shared" si="8"/>
        <v>10006.560550970469</v>
      </c>
      <c r="I47" s="517">
        <f t="shared" si="8"/>
        <v>2568.3078477652271</v>
      </c>
      <c r="J47" s="517">
        <f t="shared" si="8"/>
        <v>0</v>
      </c>
      <c r="K47" s="517">
        <f t="shared" si="8"/>
        <v>0</v>
      </c>
      <c r="L47" s="517">
        <f t="shared" si="8"/>
        <v>0</v>
      </c>
      <c r="M47" s="517">
        <f t="shared" si="8"/>
        <v>0</v>
      </c>
      <c r="N47" s="517">
        <f t="shared" si="8"/>
        <v>0</v>
      </c>
      <c r="O47" s="517">
        <f t="shared" si="8"/>
        <v>0</v>
      </c>
      <c r="P47" s="517">
        <f t="shared" si="8"/>
        <v>0</v>
      </c>
      <c r="Q47" s="517">
        <f t="shared" si="8"/>
        <v>0</v>
      </c>
      <c r="R47" s="517">
        <f t="shared" si="8"/>
        <v>12672.361102111561</v>
      </c>
    </row>
    <row r="48" spans="1:20" ht="14.25" customHeight="1">
      <c r="B48" s="451" t="s">
        <v>474</v>
      </c>
      <c r="C48" s="549"/>
      <c r="D48" s="545"/>
      <c r="E48" s="545"/>
      <c r="F48" s="545"/>
      <c r="G48" s="545"/>
      <c r="H48" s="545"/>
      <c r="I48" s="545"/>
      <c r="J48" s="545"/>
      <c r="K48" s="545"/>
      <c r="L48" s="545"/>
      <c r="M48" s="546"/>
      <c r="N48" s="546"/>
      <c r="O48" s="545"/>
      <c r="P48" s="546"/>
      <c r="Q48" s="547"/>
      <c r="R48" s="548"/>
    </row>
    <row r="49" spans="2:18" ht="14.25" customHeight="1">
      <c r="B49" s="453" t="s">
        <v>475</v>
      </c>
      <c r="C49" s="968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70"/>
      <c r="R49" s="550"/>
    </row>
    <row r="50" spans="2:18" ht="14.25" customHeight="1" thickBot="1">
      <c r="B50" s="455" t="s">
        <v>476</v>
      </c>
      <c r="C50" s="971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  <c r="O50" s="972"/>
      <c r="P50" s="972"/>
      <c r="Q50" s="973"/>
      <c r="R50" s="551"/>
    </row>
    <row r="51" spans="2:18" ht="14.25" customHeight="1" thickTop="1" thickBot="1">
      <c r="B51" s="457" t="s">
        <v>379</v>
      </c>
      <c r="C51" s="521">
        <f t="shared" ref="C51:R51" si="9">C40+C47</f>
        <v>20969.098177995369</v>
      </c>
      <c r="D51" s="521">
        <f t="shared" si="9"/>
        <v>3171.4199999999996</v>
      </c>
      <c r="E51" s="521">
        <f t="shared" si="9"/>
        <v>9277.3798387975639</v>
      </c>
      <c r="F51" s="521">
        <f t="shared" si="9"/>
        <v>97.492703375867876</v>
      </c>
      <c r="G51" s="521">
        <f t="shared" si="9"/>
        <v>485.18844359184061</v>
      </c>
      <c r="H51" s="521">
        <f t="shared" si="9"/>
        <v>10006.560550970469</v>
      </c>
      <c r="I51" s="521">
        <f t="shared" si="9"/>
        <v>2568.3078477652271</v>
      </c>
      <c r="J51" s="521">
        <f t="shared" si="9"/>
        <v>0</v>
      </c>
      <c r="K51" s="521">
        <f t="shared" si="9"/>
        <v>10891.905922386968</v>
      </c>
      <c r="L51" s="521">
        <f t="shared" si="9"/>
        <v>0</v>
      </c>
      <c r="M51" s="521">
        <f t="shared" si="9"/>
        <v>0</v>
      </c>
      <c r="N51" s="521">
        <f t="shared" si="9"/>
        <v>0</v>
      </c>
      <c r="O51" s="521">
        <f t="shared" si="9"/>
        <v>0</v>
      </c>
      <c r="P51" s="521">
        <f t="shared" si="9"/>
        <v>0</v>
      </c>
      <c r="Q51" s="522">
        <f t="shared" si="9"/>
        <v>0</v>
      </c>
      <c r="R51" s="521">
        <f t="shared" si="9"/>
        <v>57467.353484883308</v>
      </c>
    </row>
    <row r="52" spans="2:18" ht="14.25" customHeight="1" thickTop="1" thickBot="1">
      <c r="B52" s="433"/>
      <c r="C52" s="458"/>
      <c r="D52" s="458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</row>
    <row r="53" spans="2:18" ht="25.5" customHeight="1" thickTop="1" thickBot="1">
      <c r="B53" s="523" t="s">
        <v>477</v>
      </c>
      <c r="C53" s="461"/>
      <c r="D53" s="462"/>
      <c r="E53" s="462"/>
      <c r="F53" s="463"/>
      <c r="G53" s="464"/>
      <c r="H53" s="462"/>
      <c r="I53" s="462"/>
      <c r="J53" s="463"/>
      <c r="K53" s="462"/>
      <c r="L53" s="462"/>
      <c r="M53" s="462"/>
      <c r="N53" s="463"/>
      <c r="O53" s="464"/>
      <c r="P53" s="462"/>
      <c r="Q53" s="465"/>
      <c r="R53" s="459"/>
    </row>
    <row r="54" spans="2:18" ht="46.5" customHeight="1" thickTop="1" thickBot="1">
      <c r="B54" s="466" t="s">
        <v>478</v>
      </c>
      <c r="C54" s="467"/>
      <c r="D54" s="468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  <c r="R54" s="459"/>
    </row>
    <row r="55" spans="2:18" ht="14.25" customHeight="1" thickTop="1">
      <c r="B55" s="519"/>
      <c r="C55" s="520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  <c r="R55" s="459"/>
    </row>
    <row r="56" spans="2:18" ht="14.25" customHeight="1">
      <c r="B56" s="470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</row>
    <row r="57" spans="2:18" ht="14.25" customHeight="1">
      <c r="B57" s="471" t="s">
        <v>479</v>
      </c>
      <c r="C57" s="421"/>
      <c r="D57" s="470"/>
      <c r="E57" s="421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72"/>
      <c r="Q57" s="472"/>
      <c r="R57" s="472"/>
    </row>
    <row r="58" spans="2:18" ht="14.25" customHeight="1">
      <c r="B58" s="953"/>
      <c r="C58" s="953"/>
      <c r="D58" s="953"/>
      <c r="E58" s="953"/>
      <c r="F58" s="953"/>
      <c r="G58" s="953"/>
      <c r="H58" s="953"/>
      <c r="I58" s="953"/>
      <c r="J58" s="953"/>
      <c r="K58" s="953"/>
      <c r="L58" s="953"/>
      <c r="M58" s="953"/>
      <c r="N58" s="953"/>
      <c r="O58" s="953"/>
      <c r="P58" s="953"/>
      <c r="Q58" s="953"/>
      <c r="R58" s="473"/>
    </row>
    <row r="59" spans="2:18" ht="14.25" customHeight="1" thickBot="1">
      <c r="B59" s="423"/>
      <c r="C59" s="423"/>
      <c r="D59" s="423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</row>
    <row r="60" spans="2:18" ht="14.25" customHeight="1" thickTop="1" thickBot="1">
      <c r="B60" s="960" t="s">
        <v>480</v>
      </c>
      <c r="C60" s="960" t="s">
        <v>481</v>
      </c>
      <c r="D60" s="1009" t="s">
        <v>482</v>
      </c>
      <c r="E60" s="1010"/>
      <c r="F60" s="1010"/>
      <c r="G60" s="1010"/>
      <c r="H60" s="1010"/>
      <c r="I60" s="1010"/>
      <c r="J60" s="1010"/>
      <c r="K60" s="1010"/>
      <c r="L60" s="1010"/>
      <c r="M60" s="1010"/>
      <c r="N60" s="1011"/>
      <c r="O60" s="1012" t="s">
        <v>483</v>
      </c>
      <c r="P60" s="1014" t="s">
        <v>484</v>
      </c>
      <c r="Q60" s="1015"/>
      <c r="R60" s="474"/>
    </row>
    <row r="61" spans="2:18" ht="14.25" customHeight="1" thickBot="1">
      <c r="B61" s="1006"/>
      <c r="C61" s="1006"/>
      <c r="D61" s="1017" t="s">
        <v>377</v>
      </c>
      <c r="E61" s="1018"/>
      <c r="F61" s="1018"/>
      <c r="G61" s="1018"/>
      <c r="H61" s="1019"/>
      <c r="I61" s="937" t="s">
        <v>485</v>
      </c>
      <c r="J61" s="937" t="s">
        <v>486</v>
      </c>
      <c r="K61" s="1020" t="s">
        <v>462</v>
      </c>
      <c r="L61" s="1020" t="s">
        <v>464</v>
      </c>
      <c r="M61" s="1020" t="s">
        <v>487</v>
      </c>
      <c r="N61" s="1021" t="s">
        <v>488</v>
      </c>
      <c r="O61" s="1013"/>
      <c r="P61" s="1016"/>
      <c r="Q61" s="1013"/>
      <c r="R61" s="474"/>
    </row>
    <row r="62" spans="2:18" ht="49.5" customHeight="1" thickBot="1">
      <c r="B62" s="1007"/>
      <c r="C62" s="1008"/>
      <c r="D62" s="475" t="s">
        <v>458</v>
      </c>
      <c r="E62" s="678" t="s">
        <v>380</v>
      </c>
      <c r="F62" s="426" t="s">
        <v>59</v>
      </c>
      <c r="G62" s="476" t="s">
        <v>459</v>
      </c>
      <c r="H62" s="477" t="s">
        <v>460</v>
      </c>
      <c r="I62" s="938"/>
      <c r="J62" s="938"/>
      <c r="K62" s="940"/>
      <c r="L62" s="940"/>
      <c r="M62" s="940"/>
      <c r="N62" s="1022"/>
      <c r="O62" s="946"/>
      <c r="P62" s="1008"/>
      <c r="Q62" s="946"/>
      <c r="R62" s="474"/>
    </row>
    <row r="63" spans="2:18" ht="14.25" customHeight="1" thickTop="1">
      <c r="B63" s="478" t="s">
        <v>489</v>
      </c>
      <c r="C63" s="479">
        <v>0</v>
      </c>
      <c r="D63" s="982"/>
      <c r="E63" s="985"/>
      <c r="F63" s="985"/>
      <c r="G63" s="986"/>
      <c r="H63" s="989"/>
      <c r="I63" s="994"/>
      <c r="J63" s="985"/>
      <c r="K63" s="985"/>
      <c r="L63" s="985"/>
      <c r="M63" s="679"/>
      <c r="N63" s="997"/>
      <c r="O63" s="481"/>
      <c r="P63" s="962"/>
      <c r="Q63" s="963"/>
      <c r="R63" s="472"/>
    </row>
    <row r="64" spans="2:18" ht="14.25" customHeight="1">
      <c r="B64" s="482" t="s">
        <v>490</v>
      </c>
      <c r="C64" s="483">
        <v>0</v>
      </c>
      <c r="D64" s="983"/>
      <c r="E64" s="964"/>
      <c r="F64" s="964"/>
      <c r="G64" s="987"/>
      <c r="H64" s="990"/>
      <c r="I64" s="995"/>
      <c r="J64" s="964"/>
      <c r="K64" s="964"/>
      <c r="L64" s="964"/>
      <c r="M64" s="964"/>
      <c r="N64" s="998"/>
      <c r="O64" s="484"/>
      <c r="P64" s="966"/>
      <c r="Q64" s="967"/>
      <c r="R64" s="421"/>
    </row>
    <row r="65" spans="2:18" ht="14.25" customHeight="1">
      <c r="B65" s="482" t="s">
        <v>491</v>
      </c>
      <c r="C65" s="483">
        <v>0</v>
      </c>
      <c r="D65" s="984"/>
      <c r="E65" s="965"/>
      <c r="F65" s="965"/>
      <c r="G65" s="988"/>
      <c r="H65" s="991"/>
      <c r="I65" s="996"/>
      <c r="J65" s="965"/>
      <c r="K65" s="965"/>
      <c r="L65" s="965"/>
      <c r="M65" s="965"/>
      <c r="N65" s="999"/>
      <c r="O65" s="484"/>
      <c r="P65" s="966"/>
      <c r="Q65" s="967"/>
      <c r="R65" s="472"/>
    </row>
    <row r="66" spans="2:18" ht="14.25" customHeight="1">
      <c r="B66" s="482" t="s">
        <v>492</v>
      </c>
      <c r="C66" s="483">
        <v>0</v>
      </c>
      <c r="D66" s="485"/>
      <c r="E66" s="486"/>
      <c r="F66" s="486"/>
      <c r="G66" s="487"/>
      <c r="H66" s="488"/>
      <c r="I66" s="489"/>
      <c r="J66" s="486"/>
      <c r="K66" s="486"/>
      <c r="L66" s="486"/>
      <c r="M66" s="486"/>
      <c r="N66" s="490"/>
      <c r="O66" s="484"/>
      <c r="P66" s="966"/>
      <c r="Q66" s="967"/>
      <c r="R66" s="474"/>
    </row>
    <row r="67" spans="2:18" ht="14.25" customHeight="1" thickBot="1">
      <c r="B67" s="491" t="s">
        <v>493</v>
      </c>
      <c r="C67" s="492">
        <v>0</v>
      </c>
      <c r="D67" s="493"/>
      <c r="E67" s="494"/>
      <c r="F67" s="494"/>
      <c r="G67" s="494"/>
      <c r="H67" s="495"/>
      <c r="I67" s="496"/>
      <c r="J67" s="494"/>
      <c r="K67" s="494"/>
      <c r="L67" s="494"/>
      <c r="M67" s="497"/>
      <c r="N67" s="498"/>
      <c r="O67" s="499"/>
      <c r="P67" s="992"/>
      <c r="Q67" s="993"/>
      <c r="R67" s="474"/>
    </row>
    <row r="68" spans="2:18" ht="15" customHeight="1" thickTop="1" thickBot="1">
      <c r="B68" s="500" t="s">
        <v>379</v>
      </c>
      <c r="C68" s="501">
        <f>SUM(C63:C67)</f>
        <v>0</v>
      </c>
      <c r="D68" s="502">
        <f>SUM(D66:D67)</f>
        <v>0</v>
      </c>
      <c r="E68" s="502">
        <f t="shared" ref="E68:N68" si="10">SUM(E66:E67)</f>
        <v>0</v>
      </c>
      <c r="F68" s="502">
        <f t="shared" si="10"/>
        <v>0</v>
      </c>
      <c r="G68" s="502">
        <f t="shared" si="10"/>
        <v>0</v>
      </c>
      <c r="H68" s="502">
        <f t="shared" si="10"/>
        <v>0</v>
      </c>
      <c r="I68" s="502">
        <f t="shared" si="10"/>
        <v>0</v>
      </c>
      <c r="J68" s="502">
        <f t="shared" si="10"/>
        <v>0</v>
      </c>
      <c r="K68" s="502">
        <f t="shared" si="10"/>
        <v>0</v>
      </c>
      <c r="L68" s="502">
        <f t="shared" si="10"/>
        <v>0</v>
      </c>
      <c r="M68" s="502">
        <f t="shared" si="10"/>
        <v>0</v>
      </c>
      <c r="N68" s="502">
        <f t="shared" si="10"/>
        <v>0</v>
      </c>
      <c r="O68" s="503">
        <f>SUM(O63:O67)</f>
        <v>0</v>
      </c>
      <c r="P68" s="504"/>
      <c r="Q68" s="505"/>
      <c r="R68" s="474"/>
    </row>
    <row r="69" spans="2:18" ht="15.75" customHeight="1" thickTop="1">
      <c r="B69" s="506"/>
      <c r="C69" s="507"/>
      <c r="D69" s="507"/>
      <c r="E69" s="433"/>
      <c r="F69" s="421"/>
      <c r="G69" s="421"/>
      <c r="H69" s="421"/>
      <c r="I69" s="508"/>
      <c r="J69" s="421"/>
      <c r="K69" s="421"/>
      <c r="L69" s="421"/>
      <c r="M69" s="421"/>
      <c r="N69" s="509"/>
      <c r="O69" s="421"/>
      <c r="P69" s="421"/>
      <c r="Q69" s="421"/>
      <c r="R69" s="421"/>
    </row>
    <row r="70" spans="2:18" ht="15">
      <c r="B70" s="433"/>
      <c r="C70" s="507"/>
      <c r="D70" s="507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</row>
  </sheetData>
  <mergeCells count="45">
    <mergeCell ref="I63:I65"/>
    <mergeCell ref="P66:Q66"/>
    <mergeCell ref="P67:Q67"/>
    <mergeCell ref="J63:J65"/>
    <mergeCell ref="K63:K65"/>
    <mergeCell ref="L63:L65"/>
    <mergeCell ref="N63:N65"/>
    <mergeCell ref="P63:Q63"/>
    <mergeCell ref="M64:M65"/>
    <mergeCell ref="P64:Q64"/>
    <mergeCell ref="P65:Q65"/>
    <mergeCell ref="D63:D65"/>
    <mergeCell ref="E63:E65"/>
    <mergeCell ref="F63:F65"/>
    <mergeCell ref="G63:G65"/>
    <mergeCell ref="H63:H65"/>
    <mergeCell ref="C49:Q50"/>
    <mergeCell ref="B58:Q58"/>
    <mergeCell ref="B60:B62"/>
    <mergeCell ref="C60:C62"/>
    <mergeCell ref="D60:N60"/>
    <mergeCell ref="O60:O62"/>
    <mergeCell ref="P60:Q62"/>
    <mergeCell ref="D61:H61"/>
    <mergeCell ref="I61:I62"/>
    <mergeCell ref="J61:J62"/>
    <mergeCell ref="K61:K62"/>
    <mergeCell ref="L61:L62"/>
    <mergeCell ref="M61:M62"/>
    <mergeCell ref="N61:N62"/>
    <mergeCell ref="C23:Q24"/>
    <mergeCell ref="B31:B33"/>
    <mergeCell ref="C31:R31"/>
    <mergeCell ref="C32:C33"/>
    <mergeCell ref="D32:D33"/>
    <mergeCell ref="E32:L32"/>
    <mergeCell ref="M32:Q32"/>
    <mergeCell ref="R32:R33"/>
    <mergeCell ref="B5:B7"/>
    <mergeCell ref="C5:R5"/>
    <mergeCell ref="C6:C7"/>
    <mergeCell ref="D6:D7"/>
    <mergeCell ref="E6:L6"/>
    <mergeCell ref="M6:Q6"/>
    <mergeCell ref="R6:R7"/>
  </mergeCells>
  <pageMargins left="0.7" right="0.7" top="0.75" bottom="0.75" header="0.3" footer="0.3"/>
  <pageSetup paperSize="9" scale="40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Q29"/>
  <sheetViews>
    <sheetView showGridLines="0" view="pageBreakPreview" topLeftCell="B25" zoomScale="80" zoomScaleNormal="100" zoomScaleSheetLayoutView="80" workbookViewId="0">
      <selection activeCell="I29" sqref="I29"/>
    </sheetView>
  </sheetViews>
  <sheetFormatPr defaultRowHeight="14.25"/>
  <cols>
    <col min="1" max="1" width="3" customWidth="1"/>
    <col min="2" max="2" width="5.625" customWidth="1"/>
    <col min="3" max="3" width="42.625" customWidth="1"/>
    <col min="4" max="4" width="15.25" customWidth="1"/>
    <col min="5" max="5" width="34.125" customWidth="1"/>
    <col min="6" max="6" width="12.5" customWidth="1"/>
    <col min="7" max="7" width="13.375" customWidth="1"/>
    <col min="8" max="8" width="15.75" customWidth="1"/>
    <col min="9" max="11" width="9" style="286"/>
    <col min="12" max="12" width="21.25" customWidth="1"/>
    <col min="13" max="13" width="13.125" style="173" customWidth="1"/>
  </cols>
  <sheetData>
    <row r="2" spans="2:17" ht="15" thickBot="1"/>
    <row r="3" spans="2:17" ht="15.75" thickBot="1">
      <c r="B3" s="1040" t="s">
        <v>226</v>
      </c>
      <c r="C3" s="1040"/>
      <c r="D3" s="1040"/>
      <c r="E3" s="1040"/>
      <c r="F3" s="1040"/>
      <c r="G3" s="1040"/>
      <c r="H3" s="1040"/>
      <c r="I3" s="1040"/>
      <c r="J3" s="1040"/>
      <c r="K3" s="1040"/>
      <c r="L3" s="158"/>
      <c r="M3" s="163"/>
      <c r="O3" s="854" t="s">
        <v>211</v>
      </c>
      <c r="P3" s="855"/>
      <c r="Q3" s="856"/>
    </row>
    <row r="4" spans="2:17" ht="15" thickBot="1">
      <c r="B4" s="1041" t="s">
        <v>227</v>
      </c>
      <c r="C4" s="1042" t="s">
        <v>228</v>
      </c>
      <c r="D4" s="1042" t="s">
        <v>229</v>
      </c>
      <c r="E4" s="1042" t="s">
        <v>275</v>
      </c>
      <c r="F4" s="1042" t="s">
        <v>230</v>
      </c>
      <c r="G4" s="1042"/>
      <c r="H4" s="1042" t="s">
        <v>231</v>
      </c>
      <c r="I4" s="1043" t="s">
        <v>232</v>
      </c>
      <c r="J4" s="1043"/>
      <c r="K4" s="1043"/>
      <c r="L4" s="1036" t="s">
        <v>287</v>
      </c>
      <c r="M4" s="1036" t="s">
        <v>288</v>
      </c>
      <c r="O4" s="623" t="s">
        <v>212</v>
      </c>
      <c r="P4" s="626">
        <v>3.6</v>
      </c>
      <c r="Q4" s="624" t="s">
        <v>207</v>
      </c>
    </row>
    <row r="5" spans="2:17" ht="51.75" thickBot="1">
      <c r="B5" s="1041"/>
      <c r="C5" s="1042"/>
      <c r="D5" s="1042"/>
      <c r="E5" s="1042"/>
      <c r="F5" s="165" t="s">
        <v>233</v>
      </c>
      <c r="G5" s="165" t="s">
        <v>234</v>
      </c>
      <c r="H5" s="1042"/>
      <c r="I5" s="306" t="s">
        <v>235</v>
      </c>
      <c r="J5" s="306" t="s">
        <v>236</v>
      </c>
      <c r="K5" s="306" t="s">
        <v>237</v>
      </c>
      <c r="L5" s="1037"/>
      <c r="M5" s="1037"/>
      <c r="O5" s="581" t="s">
        <v>213</v>
      </c>
      <c r="P5" s="627">
        <v>0.27700000000000002</v>
      </c>
      <c r="Q5" s="625" t="s">
        <v>214</v>
      </c>
    </row>
    <row r="6" spans="2:17" ht="52.5" customHeight="1">
      <c r="B6" s="165">
        <v>1</v>
      </c>
      <c r="C6" s="165" t="s">
        <v>238</v>
      </c>
      <c r="D6" s="1039" t="s">
        <v>239</v>
      </c>
      <c r="E6" s="163" t="s">
        <v>276</v>
      </c>
      <c r="F6" s="163">
        <v>2016</v>
      </c>
      <c r="G6" s="163">
        <v>2020</v>
      </c>
      <c r="H6" s="167" t="s">
        <v>90</v>
      </c>
      <c r="I6" s="146" t="s">
        <v>90</v>
      </c>
      <c r="J6" s="146" t="s">
        <v>90</v>
      </c>
      <c r="K6" s="145" t="s">
        <v>90</v>
      </c>
      <c r="L6" s="163" t="s">
        <v>293</v>
      </c>
      <c r="M6" s="163" t="s">
        <v>289</v>
      </c>
    </row>
    <row r="7" spans="2:17" ht="65.25" customHeight="1">
      <c r="B7" s="165">
        <v>2</v>
      </c>
      <c r="C7" s="165" t="s">
        <v>240</v>
      </c>
      <c r="D7" s="1039"/>
      <c r="E7" s="163" t="s">
        <v>277</v>
      </c>
      <c r="F7" s="163">
        <v>2016</v>
      </c>
      <c r="G7" s="163">
        <v>2020</v>
      </c>
      <c r="H7" s="167" t="s">
        <v>90</v>
      </c>
      <c r="I7" s="146" t="s">
        <v>90</v>
      </c>
      <c r="J7" s="146" t="s">
        <v>90</v>
      </c>
      <c r="K7" s="145" t="s">
        <v>90</v>
      </c>
      <c r="L7" s="163" t="s">
        <v>294</v>
      </c>
      <c r="M7" s="163" t="s">
        <v>289</v>
      </c>
    </row>
    <row r="8" spans="2:17" ht="62.25" customHeight="1">
      <c r="B8" s="165">
        <v>3</v>
      </c>
      <c r="C8" s="165" t="s">
        <v>241</v>
      </c>
      <c r="D8" s="1039"/>
      <c r="E8" s="163" t="s">
        <v>278</v>
      </c>
      <c r="F8" s="163">
        <v>2016</v>
      </c>
      <c r="G8" s="163">
        <v>2020</v>
      </c>
      <c r="H8" s="167">
        <v>100000</v>
      </c>
      <c r="I8" s="146" t="s">
        <v>90</v>
      </c>
      <c r="J8" s="146" t="s">
        <v>90</v>
      </c>
      <c r="K8" s="145" t="s">
        <v>90</v>
      </c>
      <c r="L8" s="163" t="s">
        <v>295</v>
      </c>
      <c r="M8" s="163" t="s">
        <v>290</v>
      </c>
    </row>
    <row r="9" spans="2:17" ht="63.75">
      <c r="B9" s="165">
        <v>4</v>
      </c>
      <c r="C9" s="165" t="s">
        <v>242</v>
      </c>
      <c r="D9" s="145" t="str">
        <f>'En. elektryczna_2020'!B20</f>
        <v>Komunalne oświetlenie publiczne</v>
      </c>
      <c r="E9" s="163" t="s">
        <v>279</v>
      </c>
      <c r="F9" s="163">
        <v>2016</v>
      </c>
      <c r="G9" s="163">
        <v>2020</v>
      </c>
      <c r="H9" s="167">
        <v>914700</v>
      </c>
      <c r="I9" s="146">
        <f>0.1*'Oświetlenie komunalne_2020'!B6</f>
        <v>128.20000000000002</v>
      </c>
      <c r="J9" s="146">
        <f>0.1*'Oświetlenie komunalne_2020'!E6</f>
        <v>104.09840000000003</v>
      </c>
      <c r="K9" s="145">
        <v>0</v>
      </c>
      <c r="L9" s="163" t="s">
        <v>296</v>
      </c>
      <c r="M9" s="163" t="s">
        <v>291</v>
      </c>
    </row>
    <row r="10" spans="2:17" ht="76.5">
      <c r="B10" s="165">
        <v>5</v>
      </c>
      <c r="C10" s="166" t="s">
        <v>243</v>
      </c>
      <c r="D10" s="1033" t="str">
        <f>D12</f>
        <v>Budynki komunalne</v>
      </c>
      <c r="E10" s="164" t="s">
        <v>280</v>
      </c>
      <c r="F10" s="163">
        <v>2016</v>
      </c>
      <c r="G10" s="163">
        <v>2020</v>
      </c>
      <c r="H10" s="168">
        <v>650000</v>
      </c>
      <c r="I10" s="145">
        <f>0.2*'Budynki komunalne_2014'!H5</f>
        <v>25.897284000000003</v>
      </c>
      <c r="J10" s="145">
        <f>0.2*'Budynki komunalne_2014'!J5</f>
        <v>5.2187234400000007</v>
      </c>
      <c r="K10" s="145">
        <v>0</v>
      </c>
      <c r="L10" s="163" t="s">
        <v>297</v>
      </c>
      <c r="M10" s="163" t="s">
        <v>291</v>
      </c>
      <c r="O10">
        <f>650000/520</f>
        <v>1250</v>
      </c>
    </row>
    <row r="11" spans="2:17" ht="65.25" customHeight="1">
      <c r="B11" s="165">
        <v>6</v>
      </c>
      <c r="C11" s="165" t="s">
        <v>253</v>
      </c>
      <c r="D11" s="1034"/>
      <c r="E11" s="164" t="s">
        <v>281</v>
      </c>
      <c r="F11" s="163">
        <v>2016</v>
      </c>
      <c r="G11" s="163">
        <v>2020</v>
      </c>
      <c r="H11" s="632">
        <v>560000</v>
      </c>
      <c r="I11" s="145">
        <f>J11/Wskaźniki!C7</f>
        <v>287.21400878609654</v>
      </c>
      <c r="J11" s="145">
        <f>0.1*'Budynki komunalne_2014'!N8</f>
        <v>233.21777513431039</v>
      </c>
      <c r="K11" s="145">
        <f>0.01*'Budynki komunalne_2014'!N5</f>
        <v>104.95133352000001</v>
      </c>
      <c r="L11" s="163" t="s">
        <v>298</v>
      </c>
      <c r="M11" s="163" t="s">
        <v>291</v>
      </c>
    </row>
    <row r="12" spans="2:17" ht="63.75">
      <c r="B12" s="165">
        <v>7</v>
      </c>
      <c r="C12" s="165" t="s">
        <v>244</v>
      </c>
      <c r="D12" s="1033" t="str">
        <f>'En. elektryczna_2020'!B19</f>
        <v>Budynki komunalne</v>
      </c>
      <c r="E12" s="164" t="s">
        <v>282</v>
      </c>
      <c r="F12" s="163">
        <v>2016</v>
      </c>
      <c r="G12" s="163">
        <v>2020</v>
      </c>
      <c r="H12" s="168">
        <v>5000000</v>
      </c>
      <c r="I12" s="145">
        <f>0.2*'Budynku niekomunalne_2014'!H15</f>
        <v>169.44644000000002</v>
      </c>
      <c r="J12" s="145">
        <f>0.2*'Budynku niekomunalne_2014'!L15</f>
        <v>34.146210400000001</v>
      </c>
      <c r="K12" s="145">
        <f>I12*0.2</f>
        <v>33.889288000000008</v>
      </c>
      <c r="L12" s="163" t="s">
        <v>299</v>
      </c>
      <c r="M12" s="163" t="s">
        <v>291</v>
      </c>
    </row>
    <row r="13" spans="2:17" ht="63.75">
      <c r="B13" s="165">
        <v>8</v>
      </c>
      <c r="C13" s="165" t="s">
        <v>260</v>
      </c>
      <c r="D13" s="1035"/>
      <c r="E13" s="164" t="s">
        <v>282</v>
      </c>
      <c r="F13" s="163">
        <v>2016</v>
      </c>
      <c r="G13" s="163">
        <v>2020</v>
      </c>
      <c r="H13" s="168">
        <v>1500000</v>
      </c>
      <c r="I13" s="145">
        <f>0.2*'Budynku niekomunalne_2014'!H17</f>
        <v>558.69797540000002</v>
      </c>
      <c r="J13" s="145">
        <f>0.2*'Budynku niekomunalne_2014'!L17</f>
        <v>112.58671836399999</v>
      </c>
      <c r="K13" s="145">
        <f>I13*0.2</f>
        <v>111.73959508000002</v>
      </c>
      <c r="L13" s="163" t="s">
        <v>299</v>
      </c>
      <c r="M13" s="163" t="s">
        <v>291</v>
      </c>
    </row>
    <row r="14" spans="2:17" ht="63.75">
      <c r="B14" s="165">
        <v>9</v>
      </c>
      <c r="C14" s="165" t="s">
        <v>245</v>
      </c>
      <c r="D14" s="1035"/>
      <c r="E14" s="164" t="s">
        <v>282</v>
      </c>
      <c r="F14" s="163">
        <v>2016</v>
      </c>
      <c r="G14" s="163">
        <v>2019</v>
      </c>
      <c r="H14" s="168">
        <v>50000000</v>
      </c>
      <c r="I14" s="145">
        <f>0.2*'Budynku niekomunalne_2014'!H9</f>
        <v>826.5680000000001</v>
      </c>
      <c r="J14" s="145">
        <f>0.2*'Budynku niekomunalne_2014'!L9</f>
        <v>166.56688000000003</v>
      </c>
      <c r="K14" s="583">
        <f>I14*0.2</f>
        <v>165.31360000000004</v>
      </c>
      <c r="L14" s="163" t="s">
        <v>299</v>
      </c>
      <c r="M14" s="163" t="s">
        <v>291</v>
      </c>
    </row>
    <row r="15" spans="2:17" ht="63.75">
      <c r="B15" s="165">
        <v>10</v>
      </c>
      <c r="C15" s="165" t="s">
        <v>261</v>
      </c>
      <c r="D15" s="1034"/>
      <c r="E15" s="164" t="s">
        <v>281</v>
      </c>
      <c r="F15" s="163">
        <v>2016</v>
      </c>
      <c r="G15" s="163">
        <v>2020</v>
      </c>
      <c r="H15" s="169">
        <v>24000000</v>
      </c>
      <c r="I15" s="153">
        <f>J15/Wskaźniki!C7</f>
        <v>1153.2329545480311</v>
      </c>
      <c r="J15" s="153">
        <f>0.1*'Budynku niekomunalne_2014'!P8</f>
        <v>936.4251590930013</v>
      </c>
      <c r="K15" s="153">
        <f>0.01*'Budynku niekomunalne_2014'!P5</f>
        <v>332.33584090388206</v>
      </c>
      <c r="L15" s="163" t="s">
        <v>300</v>
      </c>
      <c r="M15" s="163" t="s">
        <v>291</v>
      </c>
    </row>
    <row r="16" spans="2:17" ht="38.25" customHeight="1">
      <c r="B16" s="165">
        <v>11</v>
      </c>
      <c r="C16" s="165" t="s">
        <v>246</v>
      </c>
      <c r="D16" s="1039" t="s">
        <v>385</v>
      </c>
      <c r="E16" s="163" t="s">
        <v>279</v>
      </c>
      <c r="F16" s="163">
        <v>2016</v>
      </c>
      <c r="G16" s="163">
        <v>2020</v>
      </c>
      <c r="H16" s="168">
        <v>300000</v>
      </c>
      <c r="I16" s="389">
        <f>'Ścieżki rowerowe'!D27</f>
        <v>48.069016541088004</v>
      </c>
      <c r="J16" s="389">
        <f>'Ścieżki rowerowe'!C27</f>
        <v>12.025930853059201</v>
      </c>
      <c r="K16" s="389">
        <v>0</v>
      </c>
      <c r="L16" s="163" t="s">
        <v>301</v>
      </c>
      <c r="M16" s="163" t="s">
        <v>291</v>
      </c>
      <c r="N16" s="141"/>
    </row>
    <row r="17" spans="2:13" ht="36.75" customHeight="1">
      <c r="B17" s="165">
        <v>12</v>
      </c>
      <c r="C17" s="165" t="s">
        <v>247</v>
      </c>
      <c r="D17" s="1039"/>
      <c r="E17" s="163" t="s">
        <v>279</v>
      </c>
      <c r="F17" s="1039">
        <v>2017</v>
      </c>
      <c r="G17" s="1039"/>
      <c r="H17" s="168">
        <v>32000</v>
      </c>
      <c r="I17" s="145" t="s">
        <v>90</v>
      </c>
      <c r="J17" s="145">
        <v>3.25</v>
      </c>
      <c r="K17" s="145">
        <v>4</v>
      </c>
      <c r="L17" s="163" t="s">
        <v>302</v>
      </c>
      <c r="M17" s="163" t="s">
        <v>291</v>
      </c>
    </row>
    <row r="18" spans="2:13" ht="34.5" customHeight="1">
      <c r="B18" s="165">
        <v>13</v>
      </c>
      <c r="C18" s="165" t="s">
        <v>248</v>
      </c>
      <c r="D18" s="1039"/>
      <c r="E18" s="163" t="s">
        <v>279</v>
      </c>
      <c r="F18" s="163">
        <v>2016</v>
      </c>
      <c r="G18" s="163">
        <v>2020</v>
      </c>
      <c r="H18" s="168">
        <v>5000000</v>
      </c>
      <c r="I18" s="389">
        <f>'Działanie P&amp;R'!D13</f>
        <v>146.80590367968003</v>
      </c>
      <c r="J18" s="389">
        <f>'Działanie P&amp;R'!C13</f>
        <v>36.727975180512004</v>
      </c>
      <c r="K18" s="389">
        <v>0</v>
      </c>
      <c r="L18" s="163" t="s">
        <v>303</v>
      </c>
      <c r="M18" s="163" t="s">
        <v>291</v>
      </c>
    </row>
    <row r="19" spans="2:13" ht="62.25" customHeight="1">
      <c r="B19" s="165">
        <v>14</v>
      </c>
      <c r="C19" s="165" t="s">
        <v>283</v>
      </c>
      <c r="D19" s="1039"/>
      <c r="E19" s="163" t="s">
        <v>279</v>
      </c>
      <c r="F19" s="163">
        <v>2016</v>
      </c>
      <c r="G19" s="163">
        <v>2020</v>
      </c>
      <c r="H19" s="168">
        <v>30000</v>
      </c>
      <c r="I19" s="389">
        <f>0.005*'Końcowe zuż. energii_2020'!R21</f>
        <v>250.35150919810397</v>
      </c>
      <c r="J19" s="389">
        <f>0.005*'Emisja CO2_2020'!R21</f>
        <v>64.521703547853591</v>
      </c>
      <c r="K19" s="389">
        <v>0</v>
      </c>
      <c r="L19" s="163" t="s">
        <v>304</v>
      </c>
      <c r="M19" s="163" t="s">
        <v>291</v>
      </c>
    </row>
    <row r="20" spans="2:13" ht="63.75">
      <c r="B20" s="165">
        <v>15</v>
      </c>
      <c r="C20" s="165" t="s">
        <v>284</v>
      </c>
      <c r="D20" s="1039"/>
      <c r="E20" s="163" t="s">
        <v>279</v>
      </c>
      <c r="F20" s="163">
        <v>2016</v>
      </c>
      <c r="G20" s="163">
        <v>2020</v>
      </c>
      <c r="H20" s="168">
        <v>20000</v>
      </c>
      <c r="I20" s="145">
        <f>0.001*'Końcowe zuż. energii_2020'!R21</f>
        <v>50.07030183962079</v>
      </c>
      <c r="J20" s="145">
        <f>0.001*'Emisja CO2_2020'!R21</f>
        <v>12.904340709570718</v>
      </c>
      <c r="K20" s="145">
        <v>0</v>
      </c>
      <c r="L20" s="163" t="s">
        <v>305</v>
      </c>
      <c r="M20" s="163" t="s">
        <v>291</v>
      </c>
    </row>
    <row r="21" spans="2:13" ht="63.75">
      <c r="B21" s="165">
        <v>16</v>
      </c>
      <c r="C21" s="165" t="s">
        <v>249</v>
      </c>
      <c r="D21" s="145" t="s">
        <v>456</v>
      </c>
      <c r="E21" s="163" t="s">
        <v>285</v>
      </c>
      <c r="F21" s="163">
        <v>2016</v>
      </c>
      <c r="G21" s="163">
        <v>2020</v>
      </c>
      <c r="H21" s="168">
        <f>'Działania_zrealizowane '!D39</f>
        <v>840000</v>
      </c>
      <c r="I21" s="145">
        <v>0</v>
      </c>
      <c r="J21" s="145">
        <f>'Działania_zrealizowane '!D37</f>
        <v>97.440000000000012</v>
      </c>
      <c r="K21" s="145">
        <f>'Działania_zrealizowane '!D36</f>
        <v>120</v>
      </c>
      <c r="L21" s="163" t="s">
        <v>298</v>
      </c>
      <c r="M21" s="163" t="s">
        <v>291</v>
      </c>
    </row>
    <row r="22" spans="2:13" ht="63.75">
      <c r="B22" s="165">
        <v>17</v>
      </c>
      <c r="C22" s="165" t="s">
        <v>254</v>
      </c>
      <c r="D22" s="1038" t="str">
        <f>'En. elektryczna_2020'!B18</f>
        <v>Budynki mieszkalne</v>
      </c>
      <c r="E22" s="163" t="s">
        <v>286</v>
      </c>
      <c r="F22" s="163">
        <v>2016</v>
      </c>
      <c r="G22" s="163">
        <v>2020</v>
      </c>
      <c r="H22" s="168">
        <f>'Działania_zrealizowane '!D26</f>
        <v>1600000</v>
      </c>
      <c r="I22" s="145">
        <v>0</v>
      </c>
      <c r="J22" s="145">
        <f>'Działania_zrealizowane '!D24</f>
        <v>162.4</v>
      </c>
      <c r="K22" s="145">
        <f>'Działania_zrealizowane '!D23</f>
        <v>200</v>
      </c>
      <c r="L22" s="163" t="s">
        <v>298</v>
      </c>
      <c r="M22" s="163" t="s">
        <v>291</v>
      </c>
    </row>
    <row r="23" spans="2:13" ht="63.75">
      <c r="B23" s="165">
        <v>18</v>
      </c>
      <c r="C23" s="165" t="s">
        <v>255</v>
      </c>
      <c r="D23" s="1039"/>
      <c r="E23" s="163" t="s">
        <v>286</v>
      </c>
      <c r="F23" s="163">
        <v>2016</v>
      </c>
      <c r="G23" s="163">
        <v>2020</v>
      </c>
      <c r="H23" s="168">
        <v>700000</v>
      </c>
      <c r="I23" s="145">
        <v>0</v>
      </c>
      <c r="J23" s="145">
        <f>'Działania_zrealizowane '!D11</f>
        <v>84.21875</v>
      </c>
      <c r="K23" s="145">
        <f>'Działania_zrealizowane '!D9*Działania_2020!P5</f>
        <v>238.04687500000003</v>
      </c>
      <c r="L23" s="163" t="s">
        <v>298</v>
      </c>
      <c r="M23" s="163" t="s">
        <v>291</v>
      </c>
    </row>
    <row r="24" spans="2:13" ht="63.75">
      <c r="B24" s="165">
        <v>19</v>
      </c>
      <c r="C24" s="165" t="s">
        <v>256</v>
      </c>
      <c r="D24" s="1039"/>
      <c r="E24" s="163" t="s">
        <v>286</v>
      </c>
      <c r="F24" s="163">
        <v>2016</v>
      </c>
      <c r="G24" s="163">
        <v>2020</v>
      </c>
      <c r="H24" s="168">
        <f>'Działania_zrealizowane '!D55</f>
        <v>229320</v>
      </c>
      <c r="I24" s="145">
        <f>'Działania_zrealizowane '!D49</f>
        <v>56.476788421549209</v>
      </c>
      <c r="J24" s="145">
        <f>'Działania_zrealizowane '!D53</f>
        <v>45.859152198297963</v>
      </c>
      <c r="K24" s="145">
        <f>'Działania_zrealizowane '!D52</f>
        <v>112.95357684309843</v>
      </c>
      <c r="L24" s="163" t="s">
        <v>298</v>
      </c>
      <c r="M24" s="163" t="s">
        <v>291</v>
      </c>
    </row>
    <row r="25" spans="2:13" ht="76.5">
      <c r="B25" s="165">
        <v>20</v>
      </c>
      <c r="C25" s="165" t="s">
        <v>250</v>
      </c>
      <c r="D25" s="1039"/>
      <c r="E25" s="163" t="s">
        <v>286</v>
      </c>
      <c r="F25" s="163">
        <v>2016</v>
      </c>
      <c r="G25" s="163">
        <v>2020</v>
      </c>
      <c r="H25" s="168">
        <v>2500000</v>
      </c>
      <c r="I25" s="145">
        <f>(50*Charakterystyka_2020!L86*'Ciepło_gosp. dom._2020'!C16)*0.2*P5</f>
        <v>137.15486520704363</v>
      </c>
      <c r="J25" s="145">
        <f>I25/P5*Wskaźniki!C8</f>
        <v>46.904983325138055</v>
      </c>
      <c r="K25" s="145">
        <v>0</v>
      </c>
      <c r="L25" s="163" t="s">
        <v>297</v>
      </c>
      <c r="M25" s="163" t="s">
        <v>291</v>
      </c>
    </row>
    <row r="26" spans="2:13" ht="25.5">
      <c r="B26" s="165">
        <v>21</v>
      </c>
      <c r="C26" s="165" t="s">
        <v>393</v>
      </c>
      <c r="D26" s="1039"/>
      <c r="E26" s="163" t="s">
        <v>286</v>
      </c>
      <c r="F26" s="163">
        <v>2016</v>
      </c>
      <c r="G26" s="163">
        <v>2020</v>
      </c>
      <c r="H26" s="168">
        <f>'Działania_zrealizowane '!D68</f>
        <v>424000</v>
      </c>
      <c r="I26" s="145">
        <v>0</v>
      </c>
      <c r="J26" s="145">
        <f>'Działania_zrealizowane '!D66</f>
        <v>248.59641162323169</v>
      </c>
      <c r="K26" s="145">
        <v>0</v>
      </c>
      <c r="L26" s="163" t="s">
        <v>306</v>
      </c>
      <c r="M26" s="163" t="s">
        <v>292</v>
      </c>
    </row>
    <row r="27" spans="2:13" ht="15">
      <c r="C27" s="140" t="s">
        <v>251</v>
      </c>
      <c r="H27" s="171">
        <f>SUM(H8:H26)</f>
        <v>94400020</v>
      </c>
      <c r="I27" s="172">
        <f>SUM(I6:I26)</f>
        <v>3838.1850476212135</v>
      </c>
      <c r="J27" s="172">
        <f>SUM(J9:J26)</f>
        <v>2407.1091138689749</v>
      </c>
      <c r="K27" s="172">
        <f>SUM(K11:K26)</f>
        <v>1423.2301093469807</v>
      </c>
      <c r="L27" s="158"/>
      <c r="M27" s="163"/>
    </row>
    <row r="28" spans="2:13">
      <c r="J28" s="307"/>
    </row>
    <row r="29" spans="2:13">
      <c r="I29" s="286">
        <f>I9+SUM(I10:I11)+SUM(I12:I15)+I21+SUM(I22:I26)</f>
        <v>3342.8883163627206</v>
      </c>
    </row>
  </sheetData>
  <mergeCells count="17">
    <mergeCell ref="D22:D26"/>
    <mergeCell ref="B3:K3"/>
    <mergeCell ref="B4:B5"/>
    <mergeCell ref="C4:C5"/>
    <mergeCell ref="D4:D5"/>
    <mergeCell ref="F4:G4"/>
    <mergeCell ref="H4:H5"/>
    <mergeCell ref="I4:K4"/>
    <mergeCell ref="D6:D8"/>
    <mergeCell ref="F17:G17"/>
    <mergeCell ref="E4:E5"/>
    <mergeCell ref="D16:D20"/>
    <mergeCell ref="D10:D11"/>
    <mergeCell ref="D12:D15"/>
    <mergeCell ref="O3:Q3"/>
    <mergeCell ref="L4:L5"/>
    <mergeCell ref="M4:M5"/>
  </mergeCells>
  <pageMargins left="0.7" right="0.7" top="0.75" bottom="0.75" header="0.3" footer="0.3"/>
  <pageSetup paperSize="9" scale="52" orientation="landscape" r:id="rId1"/>
  <colBreaks count="1" manualBreakCount="1">
    <brk id="13" max="26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Q28"/>
  <sheetViews>
    <sheetView showGridLines="0" view="pageBreakPreview" topLeftCell="C22" zoomScale="90" zoomScaleNormal="100" zoomScaleSheetLayoutView="90" workbookViewId="0">
      <selection activeCell="I27" sqref="I27"/>
    </sheetView>
  </sheetViews>
  <sheetFormatPr defaultRowHeight="14.25"/>
  <cols>
    <col min="1" max="1" width="3" style="285" customWidth="1"/>
    <col min="2" max="2" width="5.625" style="285" customWidth="1"/>
    <col min="3" max="3" width="42.625" style="285" customWidth="1"/>
    <col min="4" max="4" width="15.25" style="285" customWidth="1"/>
    <col min="5" max="5" width="34.125" style="285" customWidth="1"/>
    <col min="6" max="6" width="12.5" style="285" customWidth="1"/>
    <col min="7" max="7" width="13.375" style="285" customWidth="1"/>
    <col min="8" max="8" width="15.75" style="285" customWidth="1"/>
    <col min="9" max="11" width="9" style="286"/>
    <col min="12" max="12" width="21.25" style="285" customWidth="1"/>
    <col min="13" max="13" width="13.125" style="173" customWidth="1"/>
    <col min="14" max="16384" width="9" style="285"/>
  </cols>
  <sheetData>
    <row r="2" spans="2:17" ht="15" thickBot="1"/>
    <row r="3" spans="2:17" ht="15.75" thickBot="1">
      <c r="B3" s="1040" t="s">
        <v>226</v>
      </c>
      <c r="C3" s="1040"/>
      <c r="D3" s="1040"/>
      <c r="E3" s="1040"/>
      <c r="F3" s="1040"/>
      <c r="G3" s="1040"/>
      <c r="H3" s="1040"/>
      <c r="I3" s="1040"/>
      <c r="J3" s="1040"/>
      <c r="K3" s="1040"/>
      <c r="L3" s="158"/>
      <c r="M3" s="699"/>
      <c r="O3" s="854" t="s">
        <v>211</v>
      </c>
      <c r="P3" s="855"/>
      <c r="Q3" s="856"/>
    </row>
    <row r="4" spans="2:17" ht="15" thickBot="1">
      <c r="B4" s="1041" t="s">
        <v>227</v>
      </c>
      <c r="C4" s="1042" t="s">
        <v>228</v>
      </c>
      <c r="D4" s="1042" t="s">
        <v>229</v>
      </c>
      <c r="E4" s="1042" t="s">
        <v>275</v>
      </c>
      <c r="F4" s="1042" t="s">
        <v>230</v>
      </c>
      <c r="G4" s="1042"/>
      <c r="H4" s="1042" t="s">
        <v>607</v>
      </c>
      <c r="I4" s="1043" t="s">
        <v>232</v>
      </c>
      <c r="J4" s="1043"/>
      <c r="K4" s="1043"/>
      <c r="L4" s="1036" t="s">
        <v>287</v>
      </c>
      <c r="M4" s="1036" t="s">
        <v>288</v>
      </c>
      <c r="O4" s="623" t="s">
        <v>212</v>
      </c>
      <c r="P4" s="626">
        <v>3.6</v>
      </c>
      <c r="Q4" s="624" t="s">
        <v>207</v>
      </c>
    </row>
    <row r="5" spans="2:17" ht="51.75" thickBot="1">
      <c r="B5" s="1041"/>
      <c r="C5" s="1042"/>
      <c r="D5" s="1042"/>
      <c r="E5" s="1042"/>
      <c r="F5" s="700" t="s">
        <v>233</v>
      </c>
      <c r="G5" s="700" t="s">
        <v>234</v>
      </c>
      <c r="H5" s="1042"/>
      <c r="I5" s="701" t="s">
        <v>235</v>
      </c>
      <c r="J5" s="701" t="s">
        <v>236</v>
      </c>
      <c r="K5" s="701" t="s">
        <v>237</v>
      </c>
      <c r="L5" s="1037"/>
      <c r="M5" s="1037"/>
      <c r="O5" s="697" t="s">
        <v>213</v>
      </c>
      <c r="P5" s="627">
        <v>0.27700000000000002</v>
      </c>
      <c r="Q5" s="625" t="s">
        <v>214</v>
      </c>
    </row>
    <row r="6" spans="2:17" ht="52.5" customHeight="1">
      <c r="B6" s="700">
        <v>1</v>
      </c>
      <c r="C6" s="726" t="s">
        <v>238</v>
      </c>
      <c r="D6" s="1039" t="s">
        <v>239</v>
      </c>
      <c r="E6" s="699" t="s">
        <v>276</v>
      </c>
      <c r="F6" s="699">
        <v>2016</v>
      </c>
      <c r="G6" s="699">
        <v>2020</v>
      </c>
      <c r="H6" s="167" t="s">
        <v>90</v>
      </c>
      <c r="I6" s="146" t="s">
        <v>90</v>
      </c>
      <c r="J6" s="146" t="s">
        <v>90</v>
      </c>
      <c r="K6" s="698" t="s">
        <v>90</v>
      </c>
      <c r="L6" s="699" t="s">
        <v>293</v>
      </c>
      <c r="M6" s="699" t="s">
        <v>289</v>
      </c>
    </row>
    <row r="7" spans="2:17" ht="65.25" customHeight="1">
      <c r="B7" s="700">
        <v>2</v>
      </c>
      <c r="C7" s="726" t="s">
        <v>240</v>
      </c>
      <c r="D7" s="1039"/>
      <c r="E7" s="699" t="s">
        <v>277</v>
      </c>
      <c r="F7" s="699">
        <v>2016</v>
      </c>
      <c r="G7" s="699">
        <v>2020</v>
      </c>
      <c r="H7" s="167" t="s">
        <v>90</v>
      </c>
      <c r="I7" s="146" t="s">
        <v>90</v>
      </c>
      <c r="J7" s="146" t="s">
        <v>90</v>
      </c>
      <c r="K7" s="698" t="s">
        <v>90</v>
      </c>
      <c r="L7" s="699" t="s">
        <v>294</v>
      </c>
      <c r="M7" s="699" t="s">
        <v>289</v>
      </c>
    </row>
    <row r="8" spans="2:17" ht="62.25" customHeight="1">
      <c r="B8" s="700">
        <v>3</v>
      </c>
      <c r="C8" s="726" t="s">
        <v>241</v>
      </c>
      <c r="D8" s="1039"/>
      <c r="E8" s="699" t="s">
        <v>278</v>
      </c>
      <c r="F8" s="699">
        <v>2016</v>
      </c>
      <c r="G8" s="699">
        <v>2020</v>
      </c>
      <c r="H8" s="167" t="s">
        <v>90</v>
      </c>
      <c r="I8" s="146" t="s">
        <v>90</v>
      </c>
      <c r="J8" s="146" t="s">
        <v>90</v>
      </c>
      <c r="K8" s="698" t="s">
        <v>90</v>
      </c>
      <c r="L8" s="699" t="s">
        <v>295</v>
      </c>
      <c r="M8" s="699" t="s">
        <v>290</v>
      </c>
    </row>
    <row r="9" spans="2:17" ht="63.75">
      <c r="B9" s="700">
        <v>4</v>
      </c>
      <c r="C9" s="723" t="s">
        <v>601</v>
      </c>
      <c r="D9" s="698" t="str">
        <f>'En. elektryczna_2020'!B20</f>
        <v>Komunalne oświetlenie publiczne</v>
      </c>
      <c r="E9" s="699" t="s">
        <v>279</v>
      </c>
      <c r="F9" s="699">
        <v>2016</v>
      </c>
      <c r="G9" s="699">
        <v>2020</v>
      </c>
      <c r="H9" s="167"/>
      <c r="I9" s="146">
        <f>363*128.2/800</f>
        <v>58.170749999999998</v>
      </c>
      <c r="J9" s="146">
        <f>I9*0.812</f>
        <v>47.234649000000005</v>
      </c>
      <c r="K9" s="698">
        <v>0</v>
      </c>
      <c r="L9" s="699" t="s">
        <v>296</v>
      </c>
      <c r="M9" s="699" t="s">
        <v>291</v>
      </c>
      <c r="P9" s="286"/>
    </row>
    <row r="10" spans="2:17" ht="76.5">
      <c r="B10" s="700">
        <v>5</v>
      </c>
      <c r="C10" s="724" t="s">
        <v>243</v>
      </c>
      <c r="D10" s="1033" t="str">
        <f>D12</f>
        <v>Budynki komunalne</v>
      </c>
      <c r="E10" s="164" t="s">
        <v>280</v>
      </c>
      <c r="F10" s="699">
        <v>2016</v>
      </c>
      <c r="G10" s="699">
        <v>2020</v>
      </c>
      <c r="H10" s="168" t="s">
        <v>602</v>
      </c>
      <c r="I10" s="698">
        <v>0</v>
      </c>
      <c r="J10" s="698">
        <v>0</v>
      </c>
      <c r="K10" s="698">
        <v>0</v>
      </c>
      <c r="L10" s="699" t="s">
        <v>297</v>
      </c>
      <c r="M10" s="699" t="s">
        <v>291</v>
      </c>
    </row>
    <row r="11" spans="2:17" ht="65.25" customHeight="1">
      <c r="B11" s="700">
        <v>6</v>
      </c>
      <c r="C11" s="726" t="s">
        <v>253</v>
      </c>
      <c r="D11" s="1034"/>
      <c r="E11" s="164" t="s">
        <v>281</v>
      </c>
      <c r="F11" s="699">
        <v>2016</v>
      </c>
      <c r="G11" s="699">
        <v>2020</v>
      </c>
      <c r="H11" s="732" t="s">
        <v>602</v>
      </c>
      <c r="I11" s="731">
        <v>0</v>
      </c>
      <c r="J11" s="731">
        <v>0</v>
      </c>
      <c r="K11" s="731">
        <v>0</v>
      </c>
      <c r="L11" s="699" t="s">
        <v>298</v>
      </c>
      <c r="M11" s="699" t="s">
        <v>291</v>
      </c>
    </row>
    <row r="12" spans="2:17" ht="63.75">
      <c r="B12" s="700">
        <v>7</v>
      </c>
      <c r="C12" s="740" t="s">
        <v>244</v>
      </c>
      <c r="D12" s="1033" t="str">
        <f>'En. elektryczna_2020'!B19</f>
        <v>Budynki komunalne</v>
      </c>
      <c r="E12" s="164" t="s">
        <v>282</v>
      </c>
      <c r="F12" s="699">
        <v>2016</v>
      </c>
      <c r="G12" s="699">
        <v>2020</v>
      </c>
      <c r="H12" s="730" t="s">
        <v>592</v>
      </c>
      <c r="I12" s="731">
        <f>(0.2*'Budynku niekomunalne_2014'!H15)/2</f>
        <v>84.723220000000012</v>
      </c>
      <c r="J12" s="731">
        <f>(0.2*'Budynku niekomunalne_2014'!L15)/2</f>
        <v>17.073105200000001</v>
      </c>
      <c r="K12" s="731">
        <v>0</v>
      </c>
      <c r="L12" s="699" t="s">
        <v>299</v>
      </c>
      <c r="M12" s="699" t="s">
        <v>291</v>
      </c>
    </row>
    <row r="13" spans="2:17" ht="63.75">
      <c r="B13" s="700">
        <v>8</v>
      </c>
      <c r="C13" s="700" t="s">
        <v>260</v>
      </c>
      <c r="D13" s="1035"/>
      <c r="E13" s="164" t="s">
        <v>282</v>
      </c>
      <c r="F13" s="699">
        <v>2016</v>
      </c>
      <c r="G13" s="699">
        <v>2020</v>
      </c>
      <c r="H13" s="730" t="s">
        <v>608</v>
      </c>
      <c r="I13" s="731">
        <v>0</v>
      </c>
      <c r="J13" s="731">
        <v>0</v>
      </c>
      <c r="K13" s="731">
        <f>(I13*0.2)</f>
        <v>0</v>
      </c>
      <c r="L13" s="699" t="s">
        <v>299</v>
      </c>
      <c r="M13" s="699" t="s">
        <v>291</v>
      </c>
    </row>
    <row r="14" spans="2:17" ht="63.75">
      <c r="B14" s="700">
        <v>9</v>
      </c>
      <c r="C14" s="700" t="s">
        <v>245</v>
      </c>
      <c r="D14" s="1035"/>
      <c r="E14" s="164" t="s">
        <v>282</v>
      </c>
      <c r="F14" s="699">
        <v>2016</v>
      </c>
      <c r="G14" s="699">
        <v>2019</v>
      </c>
      <c r="H14" s="730" t="s">
        <v>592</v>
      </c>
      <c r="I14" s="731">
        <f>(0.2*'Budynku niekomunalne_2014'!H9)*0.65</f>
        <v>537.26920000000007</v>
      </c>
      <c r="J14" s="731">
        <f>(0.2*'Budynku niekomunalne_2014'!L9)*0.65</f>
        <v>108.26847200000002</v>
      </c>
      <c r="K14" s="731">
        <f>(I14*0.2)</f>
        <v>107.45384000000001</v>
      </c>
      <c r="L14" s="699" t="s">
        <v>299</v>
      </c>
      <c r="M14" s="699" t="s">
        <v>291</v>
      </c>
    </row>
    <row r="15" spans="2:17" ht="63.75">
      <c r="B15" s="700">
        <v>10</v>
      </c>
      <c r="C15" s="700" t="s">
        <v>261</v>
      </c>
      <c r="D15" s="1034"/>
      <c r="E15" s="164" t="s">
        <v>281</v>
      </c>
      <c r="F15" s="699">
        <v>2016</v>
      </c>
      <c r="G15" s="699">
        <v>2020</v>
      </c>
      <c r="H15" s="721">
        <v>24000000</v>
      </c>
      <c r="I15" s="722">
        <f>J15/Wskaźniki!C7</f>
        <v>1153.2329545480311</v>
      </c>
      <c r="J15" s="722">
        <f>0.1*'Budynku niekomunalne_2014'!P8</f>
        <v>936.4251590930013</v>
      </c>
      <c r="K15" s="722">
        <f>0.01*'Budynku niekomunalne_2014'!P5</f>
        <v>332.33584090388206</v>
      </c>
      <c r="L15" s="699" t="s">
        <v>300</v>
      </c>
      <c r="M15" s="699" t="s">
        <v>291</v>
      </c>
    </row>
    <row r="16" spans="2:17" ht="38.25" customHeight="1">
      <c r="B16" s="700">
        <v>11</v>
      </c>
      <c r="C16" s="700" t="s">
        <v>246</v>
      </c>
      <c r="D16" s="1039" t="s">
        <v>385</v>
      </c>
      <c r="E16" s="699" t="s">
        <v>279</v>
      </c>
      <c r="F16" s="699">
        <v>2016</v>
      </c>
      <c r="G16" s="699">
        <v>2020</v>
      </c>
      <c r="H16" s="730" t="s">
        <v>602</v>
      </c>
      <c r="I16" s="731">
        <v>0</v>
      </c>
      <c r="J16" s="731">
        <v>0</v>
      </c>
      <c r="K16" s="731">
        <v>0</v>
      </c>
      <c r="L16" s="699" t="s">
        <v>301</v>
      </c>
      <c r="M16" s="699" t="s">
        <v>291</v>
      </c>
      <c r="N16" s="141"/>
    </row>
    <row r="17" spans="2:13" ht="36.75" customHeight="1">
      <c r="B17" s="700">
        <v>12</v>
      </c>
      <c r="C17" s="700" t="s">
        <v>247</v>
      </c>
      <c r="D17" s="1039"/>
      <c r="E17" s="699" t="s">
        <v>279</v>
      </c>
      <c r="F17" s="1039">
        <v>2017</v>
      </c>
      <c r="G17" s="1039"/>
      <c r="H17" s="730" t="s">
        <v>602</v>
      </c>
      <c r="I17" s="731">
        <v>0</v>
      </c>
      <c r="J17" s="731">
        <v>0</v>
      </c>
      <c r="K17" s="731">
        <v>0</v>
      </c>
      <c r="L17" s="699" t="s">
        <v>302</v>
      </c>
      <c r="M17" s="699" t="s">
        <v>291</v>
      </c>
    </row>
    <row r="18" spans="2:13" ht="34.5" customHeight="1">
      <c r="B18" s="700">
        <v>13</v>
      </c>
      <c r="C18" s="700" t="s">
        <v>248</v>
      </c>
      <c r="D18" s="1039"/>
      <c r="E18" s="699" t="s">
        <v>279</v>
      </c>
      <c r="F18" s="699">
        <v>2016</v>
      </c>
      <c r="G18" s="699">
        <v>2020</v>
      </c>
      <c r="H18" s="730" t="s">
        <v>608</v>
      </c>
      <c r="I18" s="731">
        <v>0</v>
      </c>
      <c r="J18" s="731">
        <v>0</v>
      </c>
      <c r="K18" s="731">
        <v>0</v>
      </c>
      <c r="L18" s="699" t="s">
        <v>303</v>
      </c>
      <c r="M18" s="699" t="s">
        <v>291</v>
      </c>
    </row>
    <row r="19" spans="2:13" ht="62.25" customHeight="1">
      <c r="B19" s="700">
        <v>14</v>
      </c>
      <c r="C19" s="700" t="s">
        <v>283</v>
      </c>
      <c r="D19" s="1039"/>
      <c r="E19" s="699" t="s">
        <v>279</v>
      </c>
      <c r="F19" s="699">
        <v>2016</v>
      </c>
      <c r="G19" s="699">
        <v>2020</v>
      </c>
      <c r="H19" s="730" t="s">
        <v>608</v>
      </c>
      <c r="I19" s="731">
        <v>0</v>
      </c>
      <c r="J19" s="731">
        <v>0</v>
      </c>
      <c r="K19" s="731">
        <v>0</v>
      </c>
      <c r="L19" s="699" t="s">
        <v>304</v>
      </c>
      <c r="M19" s="699" t="s">
        <v>291</v>
      </c>
    </row>
    <row r="20" spans="2:13" ht="63.75">
      <c r="B20" s="700">
        <v>15</v>
      </c>
      <c r="C20" s="700" t="s">
        <v>284</v>
      </c>
      <c r="D20" s="1039"/>
      <c r="E20" s="699" t="s">
        <v>279</v>
      </c>
      <c r="F20" s="699">
        <v>2016</v>
      </c>
      <c r="G20" s="699">
        <v>2020</v>
      </c>
      <c r="H20" s="720">
        <v>20000</v>
      </c>
      <c r="I20" s="719">
        <f>0.001*'Końcowe zuż. energii_2020'!R21</f>
        <v>50.07030183962079</v>
      </c>
      <c r="J20" s="719">
        <f>0.001*'Emisja CO2_2020'!R21</f>
        <v>12.904340709570718</v>
      </c>
      <c r="K20" s="719">
        <v>0</v>
      </c>
      <c r="L20" s="699" t="s">
        <v>305</v>
      </c>
      <c r="M20" s="699" t="s">
        <v>291</v>
      </c>
    </row>
    <row r="21" spans="2:13" ht="63.75">
      <c r="B21" s="700">
        <v>16</v>
      </c>
      <c r="C21" s="700" t="s">
        <v>249</v>
      </c>
      <c r="D21" s="698" t="s">
        <v>456</v>
      </c>
      <c r="E21" s="699" t="s">
        <v>285</v>
      </c>
      <c r="F21" s="699">
        <v>2016</v>
      </c>
      <c r="G21" s="699">
        <v>2020</v>
      </c>
      <c r="H21" s="720">
        <f>'Działania_zrealizowane '!D39</f>
        <v>840000</v>
      </c>
      <c r="I21" s="719">
        <v>0</v>
      </c>
      <c r="J21" s="719">
        <f>'Działania_zrealizowane '!D37</f>
        <v>97.440000000000012</v>
      </c>
      <c r="K21" s="719">
        <f>'Działania_zrealizowane '!D36</f>
        <v>120</v>
      </c>
      <c r="L21" s="699" t="s">
        <v>298</v>
      </c>
      <c r="M21" s="699" t="s">
        <v>291</v>
      </c>
    </row>
    <row r="22" spans="2:13" ht="63.75">
      <c r="B22" s="700">
        <v>17</v>
      </c>
      <c r="C22" s="723" t="s">
        <v>603</v>
      </c>
      <c r="D22" s="1038" t="str">
        <f>'En. elektryczna_2020'!B18</f>
        <v>Budynki mieszkalne</v>
      </c>
      <c r="E22" s="699" t="s">
        <v>286</v>
      </c>
      <c r="F22" s="699">
        <v>2016</v>
      </c>
      <c r="G22" s="699">
        <v>2020</v>
      </c>
      <c r="H22" s="168" t="s">
        <v>592</v>
      </c>
      <c r="I22" s="698">
        <v>0</v>
      </c>
      <c r="J22" s="698">
        <v>29.23</v>
      </c>
      <c r="K22" s="698">
        <v>36</v>
      </c>
      <c r="L22" s="699" t="s">
        <v>298</v>
      </c>
      <c r="M22" s="699" t="s">
        <v>291</v>
      </c>
    </row>
    <row r="23" spans="2:13" ht="63.75">
      <c r="B23" s="700">
        <v>18</v>
      </c>
      <c r="C23" s="700" t="s">
        <v>255</v>
      </c>
      <c r="D23" s="1039"/>
      <c r="E23" s="699" t="s">
        <v>286</v>
      </c>
      <c r="F23" s="699">
        <v>2016</v>
      </c>
      <c r="G23" s="699">
        <v>2020</v>
      </c>
      <c r="H23" s="730" t="s">
        <v>608</v>
      </c>
      <c r="I23" s="731">
        <v>0</v>
      </c>
      <c r="J23" s="731">
        <v>0</v>
      </c>
      <c r="K23" s="731">
        <v>0</v>
      </c>
      <c r="L23" s="699" t="s">
        <v>298</v>
      </c>
      <c r="M23" s="699" t="s">
        <v>291</v>
      </c>
    </row>
    <row r="24" spans="2:13" ht="63.75">
      <c r="B24" s="700">
        <v>19</v>
      </c>
      <c r="C24" s="700" t="s">
        <v>256</v>
      </c>
      <c r="D24" s="1039"/>
      <c r="E24" s="699" t="s">
        <v>286</v>
      </c>
      <c r="F24" s="699">
        <v>2016</v>
      </c>
      <c r="G24" s="699">
        <v>2020</v>
      </c>
      <c r="H24" s="730" t="s">
        <v>608</v>
      </c>
      <c r="I24" s="731">
        <v>0</v>
      </c>
      <c r="J24" s="731">
        <v>0</v>
      </c>
      <c r="K24" s="731">
        <v>0</v>
      </c>
      <c r="L24" s="699" t="s">
        <v>298</v>
      </c>
      <c r="M24" s="699" t="s">
        <v>291</v>
      </c>
    </row>
    <row r="25" spans="2:13" ht="76.5">
      <c r="B25" s="700">
        <v>20</v>
      </c>
      <c r="C25" s="700" t="s">
        <v>611</v>
      </c>
      <c r="D25" s="1039"/>
      <c r="E25" s="699" t="s">
        <v>286</v>
      </c>
      <c r="F25" s="699">
        <v>2016</v>
      </c>
      <c r="G25" s="699">
        <v>2020</v>
      </c>
      <c r="H25" s="730" t="s">
        <v>608</v>
      </c>
      <c r="I25" s="767">
        <f>(20*[2]Charakterystyka_2024!L86*'[2]Ciepło_gosp. dom._2020'!C16)*0.2*P5</f>
        <v>54.861946082817454</v>
      </c>
      <c r="J25" s="767">
        <f>I25/P5*[2]Wskaźniki!C8</f>
        <v>18.761993330055223</v>
      </c>
      <c r="K25" s="767">
        <v>0</v>
      </c>
      <c r="L25" s="699" t="s">
        <v>297</v>
      </c>
      <c r="M25" s="699" t="s">
        <v>291</v>
      </c>
    </row>
    <row r="26" spans="2:13" ht="25.5">
      <c r="B26" s="700">
        <v>21</v>
      </c>
      <c r="C26" s="726" t="s">
        <v>393</v>
      </c>
      <c r="D26" s="1039"/>
      <c r="E26" s="699" t="s">
        <v>286</v>
      </c>
      <c r="F26" s="699">
        <v>2016</v>
      </c>
      <c r="G26" s="699">
        <v>2020</v>
      </c>
      <c r="H26" s="168">
        <f>'Działania_zrealizowane '!D68</f>
        <v>424000</v>
      </c>
      <c r="I26" s="698">
        <v>0</v>
      </c>
      <c r="J26" s="698">
        <f>'Działania_zrealizowane '!D66</f>
        <v>248.59641162323169</v>
      </c>
      <c r="K26" s="698">
        <v>0</v>
      </c>
      <c r="L26" s="699" t="s">
        <v>306</v>
      </c>
      <c r="M26" s="699" t="s">
        <v>292</v>
      </c>
    </row>
    <row r="27" spans="2:13" ht="15">
      <c r="C27" s="140" t="s">
        <v>251</v>
      </c>
      <c r="H27" s="171">
        <f>SUM(H8:H26)</f>
        <v>25284000</v>
      </c>
      <c r="I27" s="172">
        <f>I9+I12+I14+I24+I25+I26</f>
        <v>735.02511608281748</v>
      </c>
      <c r="J27" s="172">
        <f>J9+J12+J14+J22+J23+J24+J25+J26</f>
        <v>469.1646311532869</v>
      </c>
      <c r="K27" s="172">
        <f>K14+K22+K23+K24</f>
        <v>143.45384000000001</v>
      </c>
      <c r="L27" s="158"/>
      <c r="M27" s="699"/>
    </row>
    <row r="28" spans="2:13">
      <c r="J28" s="307"/>
    </row>
  </sheetData>
  <mergeCells count="17">
    <mergeCell ref="D22:D26"/>
    <mergeCell ref="M4:M5"/>
    <mergeCell ref="D6:D8"/>
    <mergeCell ref="D10:D11"/>
    <mergeCell ref="D12:D15"/>
    <mergeCell ref="D16:D20"/>
    <mergeCell ref="F17:G17"/>
    <mergeCell ref="B3:K3"/>
    <mergeCell ref="O3:Q3"/>
    <mergeCell ref="B4:B5"/>
    <mergeCell ref="C4:C5"/>
    <mergeCell ref="D4:D5"/>
    <mergeCell ref="E4:E5"/>
    <mergeCell ref="F4:G4"/>
    <mergeCell ref="H4:H5"/>
    <mergeCell ref="I4:K4"/>
    <mergeCell ref="L4:L5"/>
  </mergeCells>
  <pageMargins left="0.7" right="0.7" top="0.75" bottom="0.75" header="0.3" footer="0.3"/>
  <pageSetup paperSize="9" scale="52" orientation="landscape" r:id="rId1"/>
  <colBreaks count="1" manualBreakCount="1">
    <brk id="13" max="26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topLeftCell="A43" workbookViewId="0">
      <selection activeCell="G73" sqref="G73"/>
    </sheetView>
  </sheetViews>
  <sheetFormatPr defaultRowHeight="15"/>
  <cols>
    <col min="1" max="1" width="3.875" style="609" customWidth="1"/>
    <col min="2" max="2" width="3.5" style="622" customWidth="1"/>
    <col min="3" max="3" width="42.25" style="609" customWidth="1"/>
    <col min="4" max="4" width="14.875" style="609" customWidth="1"/>
    <col min="5" max="5" width="10.875" style="609" customWidth="1"/>
    <col min="6" max="6" width="22.75" style="609" customWidth="1"/>
    <col min="7" max="16384" width="9" style="609"/>
  </cols>
  <sheetData>
    <row r="1" spans="2:6" ht="15.75" thickBot="1"/>
    <row r="2" spans="2:6" ht="15.75" thickBot="1">
      <c r="B2" s="1044" t="s">
        <v>514</v>
      </c>
      <c r="C2" s="1045"/>
      <c r="D2" s="1045"/>
      <c r="E2" s="1045"/>
      <c r="F2" s="1046"/>
    </row>
    <row r="3" spans="2:6">
      <c r="B3" s="628" t="s">
        <v>227</v>
      </c>
      <c r="C3" s="610" t="s">
        <v>515</v>
      </c>
      <c r="D3" s="610" t="s">
        <v>271</v>
      </c>
      <c r="E3" s="610" t="s">
        <v>67</v>
      </c>
      <c r="F3" s="611" t="s">
        <v>516</v>
      </c>
    </row>
    <row r="4" spans="2:6">
      <c r="B4" s="629">
        <v>1</v>
      </c>
      <c r="C4" s="612" t="s">
        <v>517</v>
      </c>
      <c r="D4" s="613">
        <v>50</v>
      </c>
      <c r="E4" s="612" t="s">
        <v>518</v>
      </c>
      <c r="F4" s="614" t="s">
        <v>519</v>
      </c>
    </row>
    <row r="5" spans="2:6">
      <c r="B5" s="630">
        <v>2</v>
      </c>
      <c r="C5" s="615" t="s">
        <v>520</v>
      </c>
      <c r="D5" s="616">
        <v>5</v>
      </c>
      <c r="E5" s="615" t="s">
        <v>521</v>
      </c>
      <c r="F5" s="617" t="s">
        <v>519</v>
      </c>
    </row>
    <row r="6" spans="2:6">
      <c r="B6" s="630">
        <v>3</v>
      </c>
      <c r="C6" s="615" t="s">
        <v>522</v>
      </c>
      <c r="D6" s="616">
        <v>12.5</v>
      </c>
      <c r="E6" s="615" t="s">
        <v>523</v>
      </c>
      <c r="F6" s="617" t="s">
        <v>524</v>
      </c>
    </row>
    <row r="7" spans="2:6">
      <c r="B7" s="630">
        <v>4</v>
      </c>
      <c r="C7" s="615" t="s">
        <v>525</v>
      </c>
      <c r="D7" s="616">
        <v>275</v>
      </c>
      <c r="E7" s="615" t="s">
        <v>526</v>
      </c>
      <c r="F7" s="617" t="s">
        <v>524</v>
      </c>
    </row>
    <row r="8" spans="2:6">
      <c r="B8" s="630">
        <v>5</v>
      </c>
      <c r="C8" s="615" t="s">
        <v>527</v>
      </c>
      <c r="D8" s="616">
        <f>D7*D6*D5</f>
        <v>17187.5</v>
      </c>
      <c r="E8" s="615" t="s">
        <v>528</v>
      </c>
      <c r="F8" s="617"/>
    </row>
    <row r="9" spans="2:6">
      <c r="B9" s="630">
        <v>6</v>
      </c>
      <c r="C9" s="615" t="s">
        <v>529</v>
      </c>
      <c r="D9" s="616">
        <f>D8*D4/1000</f>
        <v>859.375</v>
      </c>
      <c r="E9" s="615" t="s">
        <v>207</v>
      </c>
      <c r="F9" s="617"/>
    </row>
    <row r="10" spans="2:6">
      <c r="B10" s="630">
        <v>7</v>
      </c>
      <c r="C10" s="615" t="s">
        <v>530</v>
      </c>
      <c r="D10" s="618">
        <v>9.8000000000000004E-2</v>
      </c>
      <c r="E10" s="615" t="s">
        <v>531</v>
      </c>
      <c r="F10" s="617" t="s">
        <v>532</v>
      </c>
    </row>
    <row r="11" spans="2:6">
      <c r="B11" s="630">
        <v>8</v>
      </c>
      <c r="C11" s="615" t="s">
        <v>533</v>
      </c>
      <c r="D11" s="616">
        <f>D10*D9</f>
        <v>84.21875</v>
      </c>
      <c r="E11" s="615" t="s">
        <v>534</v>
      </c>
      <c r="F11" s="617"/>
    </row>
    <row r="12" spans="2:6">
      <c r="B12" s="630">
        <v>9</v>
      </c>
      <c r="C12" s="615" t="s">
        <v>535</v>
      </c>
      <c r="D12" s="616">
        <v>14000</v>
      </c>
      <c r="E12" s="615" t="s">
        <v>536</v>
      </c>
      <c r="F12" s="617" t="s">
        <v>524</v>
      </c>
    </row>
    <row r="13" spans="2:6">
      <c r="B13" s="630">
        <v>10</v>
      </c>
      <c r="C13" s="615" t="s">
        <v>537</v>
      </c>
      <c r="D13" s="616">
        <f>D12*D4</f>
        <v>700000</v>
      </c>
      <c r="E13" s="615" t="s">
        <v>538</v>
      </c>
      <c r="F13" s="617"/>
    </row>
    <row r="14" spans="2:6" ht="15.75" thickBot="1">
      <c r="B14" s="631">
        <v>11</v>
      </c>
      <c r="C14" s="619" t="s">
        <v>539</v>
      </c>
      <c r="D14" s="620">
        <f>D13/D11</f>
        <v>8311.6883116883109</v>
      </c>
      <c r="E14" s="619" t="s">
        <v>540</v>
      </c>
      <c r="F14" s="621"/>
    </row>
    <row r="15" spans="2:6" ht="15.75" thickBot="1"/>
    <row r="16" spans="2:6" ht="15.75" thickBot="1">
      <c r="B16" s="1044" t="s">
        <v>550</v>
      </c>
      <c r="C16" s="1045"/>
      <c r="D16" s="1045"/>
      <c r="E16" s="1045"/>
      <c r="F16" s="1046"/>
    </row>
    <row r="17" spans="2:6">
      <c r="B17" s="628" t="s">
        <v>227</v>
      </c>
      <c r="C17" s="610" t="s">
        <v>515</v>
      </c>
      <c r="D17" s="610" t="s">
        <v>271</v>
      </c>
      <c r="E17" s="610" t="s">
        <v>67</v>
      </c>
      <c r="F17" s="611" t="s">
        <v>516</v>
      </c>
    </row>
    <row r="18" spans="2:6">
      <c r="B18" s="629">
        <v>1</v>
      </c>
      <c r="C18" s="612" t="s">
        <v>517</v>
      </c>
      <c r="D18" s="613">
        <v>50</v>
      </c>
      <c r="E18" s="612" t="s">
        <v>518</v>
      </c>
      <c r="F18" s="614" t="s">
        <v>519</v>
      </c>
    </row>
    <row r="19" spans="2:6">
      <c r="B19" s="630">
        <v>2</v>
      </c>
      <c r="C19" s="615" t="s">
        <v>541</v>
      </c>
      <c r="D19" s="616">
        <v>4</v>
      </c>
      <c r="E19" s="615" t="s">
        <v>542</v>
      </c>
      <c r="F19" s="617" t="s">
        <v>519</v>
      </c>
    </row>
    <row r="20" spans="2:6">
      <c r="B20" s="630">
        <v>3</v>
      </c>
      <c r="C20" s="615" t="s">
        <v>543</v>
      </c>
      <c r="D20" s="616">
        <f>D19*D18</f>
        <v>200</v>
      </c>
      <c r="E20" s="615" t="s">
        <v>542</v>
      </c>
      <c r="F20" s="617"/>
    </row>
    <row r="21" spans="2:6">
      <c r="B21" s="630">
        <v>4</v>
      </c>
      <c r="C21" s="615" t="s">
        <v>544</v>
      </c>
      <c r="D21" s="616">
        <v>1</v>
      </c>
      <c r="E21" s="615" t="s">
        <v>235</v>
      </c>
      <c r="F21" s="617" t="s">
        <v>524</v>
      </c>
    </row>
    <row r="22" spans="2:6">
      <c r="B22" s="630">
        <v>5</v>
      </c>
      <c r="C22" s="615" t="s">
        <v>545</v>
      </c>
      <c r="D22" s="616">
        <v>0.81200000000000006</v>
      </c>
      <c r="E22" s="615" t="s">
        <v>546</v>
      </c>
      <c r="F22" s="617" t="s">
        <v>553</v>
      </c>
    </row>
    <row r="23" spans="2:6">
      <c r="B23" s="630">
        <v>6</v>
      </c>
      <c r="C23" s="615" t="s">
        <v>547</v>
      </c>
      <c r="D23" s="616">
        <f>D20*D21</f>
        <v>200</v>
      </c>
      <c r="E23" s="615" t="s">
        <v>235</v>
      </c>
      <c r="F23" s="617"/>
    </row>
    <row r="24" spans="2:6">
      <c r="B24" s="630">
        <v>7</v>
      </c>
      <c r="C24" s="615" t="s">
        <v>533</v>
      </c>
      <c r="D24" s="616">
        <f>D23*D22</f>
        <v>162.4</v>
      </c>
      <c r="E24" s="615" t="s">
        <v>534</v>
      </c>
      <c r="F24" s="617"/>
    </row>
    <row r="25" spans="2:6">
      <c r="B25" s="630">
        <v>8</v>
      </c>
      <c r="C25" s="615" t="s">
        <v>548</v>
      </c>
      <c r="D25" s="616">
        <v>8000</v>
      </c>
      <c r="E25" s="615" t="s">
        <v>549</v>
      </c>
      <c r="F25" s="617" t="s">
        <v>524</v>
      </c>
    </row>
    <row r="26" spans="2:6">
      <c r="B26" s="630">
        <v>9</v>
      </c>
      <c r="C26" s="615" t="s">
        <v>537</v>
      </c>
      <c r="D26" s="616">
        <f>D25*D20</f>
        <v>1600000</v>
      </c>
      <c r="E26" s="615" t="s">
        <v>549</v>
      </c>
      <c r="F26" s="617"/>
    </row>
    <row r="27" spans="2:6" ht="15.75" thickBot="1">
      <c r="B27" s="631">
        <v>10</v>
      </c>
      <c r="C27" s="619" t="s">
        <v>539</v>
      </c>
      <c r="D27" s="620">
        <f>D25*D20/D24</f>
        <v>9852.2167487684728</v>
      </c>
      <c r="E27" s="619" t="s">
        <v>540</v>
      </c>
      <c r="F27" s="621"/>
    </row>
    <row r="28" spans="2:6" ht="15.75" thickBot="1"/>
    <row r="29" spans="2:6" ht="15.75" thickBot="1">
      <c r="B29" s="1044" t="s">
        <v>249</v>
      </c>
      <c r="C29" s="1045"/>
      <c r="D29" s="1045"/>
      <c r="E29" s="1045"/>
      <c r="F29" s="1046"/>
    </row>
    <row r="30" spans="2:6">
      <c r="B30" s="628" t="s">
        <v>227</v>
      </c>
      <c r="C30" s="610" t="s">
        <v>515</v>
      </c>
      <c r="D30" s="610" t="s">
        <v>271</v>
      </c>
      <c r="E30" s="610" t="s">
        <v>67</v>
      </c>
      <c r="F30" s="611" t="s">
        <v>516</v>
      </c>
    </row>
    <row r="31" spans="2:6">
      <c r="B31" s="629">
        <v>1</v>
      </c>
      <c r="C31" s="612" t="s">
        <v>517</v>
      </c>
      <c r="D31" s="613">
        <v>3</v>
      </c>
      <c r="E31" s="612" t="s">
        <v>518</v>
      </c>
      <c r="F31" s="614" t="s">
        <v>519</v>
      </c>
    </row>
    <row r="32" spans="2:6">
      <c r="B32" s="630">
        <v>2</v>
      </c>
      <c r="C32" s="615" t="s">
        <v>541</v>
      </c>
      <c r="D32" s="616">
        <v>40</v>
      </c>
      <c r="E32" s="615" t="s">
        <v>542</v>
      </c>
      <c r="F32" s="617" t="s">
        <v>519</v>
      </c>
    </row>
    <row r="33" spans="2:6">
      <c r="B33" s="630">
        <v>3</v>
      </c>
      <c r="C33" s="615" t="s">
        <v>543</v>
      </c>
      <c r="D33" s="616">
        <f>D32*D31</f>
        <v>120</v>
      </c>
      <c r="E33" s="615" t="s">
        <v>542</v>
      </c>
      <c r="F33" s="617"/>
    </row>
    <row r="34" spans="2:6">
      <c r="B34" s="630">
        <v>4</v>
      </c>
      <c r="C34" s="615" t="s">
        <v>551</v>
      </c>
      <c r="D34" s="616">
        <v>1</v>
      </c>
      <c r="E34" s="615" t="s">
        <v>235</v>
      </c>
      <c r="F34" s="617" t="s">
        <v>524</v>
      </c>
    </row>
    <row r="35" spans="2:6">
      <c r="B35" s="630">
        <v>5</v>
      </c>
      <c r="C35" s="615" t="s">
        <v>545</v>
      </c>
      <c r="D35" s="616">
        <v>0.81200000000000006</v>
      </c>
      <c r="E35" s="615" t="s">
        <v>546</v>
      </c>
      <c r="F35" s="617" t="s">
        <v>553</v>
      </c>
    </row>
    <row r="36" spans="2:6">
      <c r="B36" s="630">
        <v>6</v>
      </c>
      <c r="C36" s="615" t="s">
        <v>552</v>
      </c>
      <c r="D36" s="616">
        <f>D33*D34</f>
        <v>120</v>
      </c>
      <c r="E36" s="615" t="s">
        <v>235</v>
      </c>
      <c r="F36" s="617"/>
    </row>
    <row r="37" spans="2:6">
      <c r="B37" s="630">
        <v>7</v>
      </c>
      <c r="C37" s="615" t="s">
        <v>533</v>
      </c>
      <c r="D37" s="616">
        <f>D36*D35</f>
        <v>97.440000000000012</v>
      </c>
      <c r="E37" s="615" t="s">
        <v>534</v>
      </c>
      <c r="F37" s="617"/>
    </row>
    <row r="38" spans="2:6">
      <c r="B38" s="630">
        <v>8</v>
      </c>
      <c r="C38" s="615" t="s">
        <v>548</v>
      </c>
      <c r="D38" s="616">
        <v>7000</v>
      </c>
      <c r="E38" s="615" t="s">
        <v>549</v>
      </c>
      <c r="F38" s="617" t="s">
        <v>524</v>
      </c>
    </row>
    <row r="39" spans="2:6">
      <c r="B39" s="630">
        <v>9</v>
      </c>
      <c r="C39" s="615" t="s">
        <v>537</v>
      </c>
      <c r="D39" s="616">
        <f>D38*D33</f>
        <v>840000</v>
      </c>
      <c r="E39" s="615" t="s">
        <v>549</v>
      </c>
      <c r="F39" s="617"/>
    </row>
    <row r="40" spans="2:6" ht="15.75" thickBot="1">
      <c r="B40" s="631">
        <v>10</v>
      </c>
      <c r="C40" s="619" t="s">
        <v>539</v>
      </c>
      <c r="D40" s="620">
        <f>D38*D33/D37</f>
        <v>8620.689655172413</v>
      </c>
      <c r="E40" s="619" t="s">
        <v>540</v>
      </c>
      <c r="F40" s="621"/>
    </row>
    <row r="41" spans="2:6" ht="15.75" thickBot="1"/>
    <row r="42" spans="2:6" ht="15.75" thickBot="1">
      <c r="B42" s="1044" t="s">
        <v>256</v>
      </c>
      <c r="C42" s="1045"/>
      <c r="D42" s="1045"/>
      <c r="E42" s="1045"/>
      <c r="F42" s="1046"/>
    </row>
    <row r="43" spans="2:6">
      <c r="B43" s="628" t="s">
        <v>227</v>
      </c>
      <c r="C43" s="610" t="s">
        <v>515</v>
      </c>
      <c r="D43" s="610" t="s">
        <v>271</v>
      </c>
      <c r="E43" s="610" t="s">
        <v>67</v>
      </c>
      <c r="F43" s="611" t="s">
        <v>516</v>
      </c>
    </row>
    <row r="44" spans="2:6">
      <c r="B44" s="629">
        <v>1</v>
      </c>
      <c r="C44" s="612" t="s">
        <v>561</v>
      </c>
      <c r="D44" s="613">
        <v>2</v>
      </c>
      <c r="E44" s="612" t="s">
        <v>562</v>
      </c>
      <c r="F44" s="614" t="s">
        <v>572</v>
      </c>
    </row>
    <row r="45" spans="2:6" ht="25.5">
      <c r="B45" s="630">
        <v>2</v>
      </c>
      <c r="C45" s="651" t="s">
        <v>567</v>
      </c>
      <c r="D45" s="652">
        <v>3</v>
      </c>
      <c r="E45" s="651" t="s">
        <v>214</v>
      </c>
      <c r="F45" s="653" t="s">
        <v>573</v>
      </c>
    </row>
    <row r="46" spans="2:6">
      <c r="B46" s="630">
        <v>3</v>
      </c>
      <c r="C46" s="615" t="s">
        <v>563</v>
      </c>
      <c r="D46" s="616">
        <v>150</v>
      </c>
      <c r="E46" s="615" t="s">
        <v>521</v>
      </c>
      <c r="F46" s="617" t="s">
        <v>574</v>
      </c>
    </row>
    <row r="47" spans="2:6">
      <c r="B47" s="630">
        <v>4</v>
      </c>
      <c r="C47" s="615" t="s">
        <v>564</v>
      </c>
      <c r="D47" s="616">
        <f>'Ciepło_gosp. dom._2020'!C16</f>
        <v>0.6796244094049243</v>
      </c>
      <c r="E47" s="615" t="s">
        <v>565</v>
      </c>
      <c r="F47" s="617" t="s">
        <v>575</v>
      </c>
    </row>
    <row r="48" spans="2:6">
      <c r="B48" s="630">
        <v>5</v>
      </c>
      <c r="C48" s="615" t="s">
        <v>564</v>
      </c>
      <c r="D48" s="616">
        <f>D47*Działania_2020!P5</f>
        <v>0.18825596140516404</v>
      </c>
      <c r="E48" s="615" t="s">
        <v>566</v>
      </c>
      <c r="F48" s="617"/>
    </row>
    <row r="49" spans="2:6">
      <c r="B49" s="630">
        <v>6</v>
      </c>
      <c r="C49" s="615" t="s">
        <v>577</v>
      </c>
      <c r="D49" s="616">
        <f>(D46*D48)*D44</f>
        <v>56.476788421549209</v>
      </c>
      <c r="E49" s="615" t="s">
        <v>235</v>
      </c>
      <c r="F49" s="617"/>
    </row>
    <row r="50" spans="2:6">
      <c r="B50" s="630">
        <v>7</v>
      </c>
      <c r="C50" s="615" t="s">
        <v>545</v>
      </c>
      <c r="D50" s="616">
        <v>0.81200000000000006</v>
      </c>
      <c r="E50" s="615" t="s">
        <v>546</v>
      </c>
      <c r="F50" s="617" t="s">
        <v>553</v>
      </c>
    </row>
    <row r="51" spans="2:6">
      <c r="B51" s="630">
        <v>8</v>
      </c>
      <c r="C51" s="615" t="s">
        <v>547</v>
      </c>
      <c r="D51" s="616">
        <f>D45*D49</f>
        <v>169.43036526464763</v>
      </c>
      <c r="E51" s="615" t="s">
        <v>235</v>
      </c>
      <c r="F51" s="617"/>
    </row>
    <row r="52" spans="2:6">
      <c r="B52" s="630">
        <v>9</v>
      </c>
      <c r="C52" s="615" t="s">
        <v>576</v>
      </c>
      <c r="D52" s="616">
        <f>D51-D49</f>
        <v>112.95357684309843</v>
      </c>
      <c r="E52" s="615" t="s">
        <v>235</v>
      </c>
      <c r="F52" s="617"/>
    </row>
    <row r="53" spans="2:6">
      <c r="B53" s="630">
        <v>10</v>
      </c>
      <c r="C53" s="615" t="s">
        <v>533</v>
      </c>
      <c r="D53" s="616">
        <f>D49*D50</f>
        <v>45.859152198297963</v>
      </c>
      <c r="E53" s="615" t="s">
        <v>534</v>
      </c>
      <c r="F53" s="617"/>
    </row>
    <row r="54" spans="2:6">
      <c r="B54" s="630">
        <v>11</v>
      </c>
      <c r="C54" s="648" t="s">
        <v>570</v>
      </c>
      <c r="D54" s="649">
        <v>114660</v>
      </c>
      <c r="E54" s="648" t="s">
        <v>569</v>
      </c>
      <c r="F54" s="650" t="s">
        <v>571</v>
      </c>
    </row>
    <row r="55" spans="2:6" ht="15.75" thickBot="1">
      <c r="B55" s="631">
        <v>12</v>
      </c>
      <c r="C55" s="619" t="s">
        <v>568</v>
      </c>
      <c r="D55" s="620">
        <f>D54*D44</f>
        <v>229320</v>
      </c>
      <c r="E55" s="619" t="s">
        <v>538</v>
      </c>
      <c r="F55" s="621"/>
    </row>
    <row r="56" spans="2:6" ht="15.75" thickBot="1"/>
    <row r="57" spans="2:6" ht="15.75" thickBot="1">
      <c r="B57" s="1047" t="s">
        <v>578</v>
      </c>
      <c r="C57" s="1048"/>
      <c r="D57" s="1048"/>
      <c r="E57" s="1048"/>
      <c r="F57" s="1049"/>
    </row>
    <row r="58" spans="2:6" ht="15.75" thickBot="1">
      <c r="B58" s="657" t="s">
        <v>227</v>
      </c>
      <c r="C58" s="660" t="s">
        <v>515</v>
      </c>
      <c r="D58" s="660" t="s">
        <v>271</v>
      </c>
      <c r="E58" s="660" t="s">
        <v>67</v>
      </c>
      <c r="F58" s="661" t="s">
        <v>516</v>
      </c>
    </row>
    <row r="59" spans="2:6">
      <c r="B59" s="662">
        <v>1</v>
      </c>
      <c r="C59" s="663" t="s">
        <v>579</v>
      </c>
      <c r="D59" s="664">
        <f>Charakterystyka_2024!L28</f>
        <v>5115</v>
      </c>
      <c r="E59" s="665" t="s">
        <v>518</v>
      </c>
      <c r="F59" s="666" t="s">
        <v>580</v>
      </c>
    </row>
    <row r="60" spans="2:6">
      <c r="B60" s="658">
        <v>2</v>
      </c>
      <c r="C60" s="656" t="s">
        <v>581</v>
      </c>
      <c r="D60" s="654">
        <f>Charakterystyka_2024!L86</f>
        <v>72.855522971652007</v>
      </c>
      <c r="E60" s="615" t="s">
        <v>521</v>
      </c>
      <c r="F60" s="617" t="s">
        <v>580</v>
      </c>
    </row>
    <row r="61" spans="2:6">
      <c r="B61" s="658">
        <v>3</v>
      </c>
      <c r="C61" s="656" t="s">
        <v>582</v>
      </c>
      <c r="D61" s="616">
        <f>Charakterystyka_2024!L67</f>
        <v>372656</v>
      </c>
      <c r="E61" s="615" t="s">
        <v>521</v>
      </c>
      <c r="F61" s="617"/>
    </row>
    <row r="62" spans="2:6">
      <c r="B62" s="658">
        <v>4</v>
      </c>
      <c r="C62" s="656" t="s">
        <v>583</v>
      </c>
      <c r="D62" s="654">
        <f>'Ciepło_gosp. dom._2024'!C14</f>
        <v>253266.11391120145</v>
      </c>
      <c r="E62" s="615" t="s">
        <v>584</v>
      </c>
      <c r="F62" s="655" t="s">
        <v>585</v>
      </c>
    </row>
    <row r="63" spans="2:6">
      <c r="B63" s="658">
        <v>5</v>
      </c>
      <c r="C63" s="656" t="s">
        <v>583</v>
      </c>
      <c r="D63" s="618">
        <f>'Ciepło_gosp. dom._2020'!C16</f>
        <v>0.6796244094049243</v>
      </c>
      <c r="E63" s="615" t="s">
        <v>586</v>
      </c>
      <c r="F63" s="617"/>
    </row>
    <row r="64" spans="2:6">
      <c r="B64" s="658">
        <v>6</v>
      </c>
      <c r="C64" s="656" t="s">
        <v>587</v>
      </c>
      <c r="D64" s="616">
        <v>53</v>
      </c>
      <c r="E64" s="615" t="s">
        <v>518</v>
      </c>
      <c r="F64" s="617"/>
    </row>
    <row r="65" spans="2:6">
      <c r="B65" s="658">
        <v>7</v>
      </c>
      <c r="C65" s="656" t="s">
        <v>530</v>
      </c>
      <c r="D65" s="618">
        <f>Wskaźniki!C8</f>
        <v>9.4729999999999995E-2</v>
      </c>
      <c r="E65" s="615" t="s">
        <v>531</v>
      </c>
      <c r="F65" s="617" t="s">
        <v>532</v>
      </c>
    </row>
    <row r="66" spans="2:6">
      <c r="B66" s="658">
        <v>8</v>
      </c>
      <c r="C66" s="656" t="s">
        <v>533</v>
      </c>
      <c r="D66" s="616">
        <f>((D64*D63*D60)*D65)</f>
        <v>248.59641162323169</v>
      </c>
      <c r="E66" s="615" t="s">
        <v>534</v>
      </c>
      <c r="F66" s="617"/>
    </row>
    <row r="67" spans="2:6">
      <c r="B67" s="658">
        <v>9</v>
      </c>
      <c r="C67" s="656" t="s">
        <v>588</v>
      </c>
      <c r="D67" s="616">
        <v>8000</v>
      </c>
      <c r="E67" s="615" t="s">
        <v>589</v>
      </c>
      <c r="F67" s="617" t="s">
        <v>524</v>
      </c>
    </row>
    <row r="68" spans="2:6">
      <c r="B68" s="658">
        <v>10</v>
      </c>
      <c r="C68" s="656" t="s">
        <v>537</v>
      </c>
      <c r="D68" s="616">
        <f>D67*D64</f>
        <v>424000</v>
      </c>
      <c r="E68" s="615" t="s">
        <v>538</v>
      </c>
      <c r="F68" s="617"/>
    </row>
    <row r="69" spans="2:6" ht="15.75" thickBot="1">
      <c r="B69" s="659">
        <v>11</v>
      </c>
      <c r="C69" s="619" t="s">
        <v>539</v>
      </c>
      <c r="D69" s="620">
        <f>D68/D66</f>
        <v>1705.5757049406122</v>
      </c>
      <c r="E69" s="619" t="s">
        <v>540</v>
      </c>
      <c r="F69" s="621"/>
    </row>
  </sheetData>
  <mergeCells count="5">
    <mergeCell ref="B2:F2"/>
    <mergeCell ref="B16:F16"/>
    <mergeCell ref="B29:F29"/>
    <mergeCell ref="B42:F42"/>
    <mergeCell ref="B57:F5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Q32"/>
  <sheetViews>
    <sheetView showGridLines="0" view="pageBreakPreview" zoomScaleNormal="100" zoomScaleSheetLayoutView="100" workbookViewId="0">
      <selection activeCell="E7" sqref="E7"/>
    </sheetView>
  </sheetViews>
  <sheetFormatPr defaultRowHeight="14.25"/>
  <cols>
    <col min="1" max="1" width="3" style="285" customWidth="1"/>
    <col min="2" max="2" width="5.625" style="285" customWidth="1"/>
    <col min="3" max="3" width="42.625" style="285" customWidth="1"/>
    <col min="4" max="4" width="15.25" style="285" customWidth="1"/>
    <col min="5" max="5" width="34.125" style="285" customWidth="1"/>
    <col min="6" max="6" width="12.5" style="285" customWidth="1"/>
    <col min="7" max="7" width="13.375" style="285" customWidth="1"/>
    <col min="8" max="8" width="17.75" style="285" customWidth="1"/>
    <col min="9" max="11" width="9" style="286"/>
    <col min="12" max="12" width="21.25" style="285" customWidth="1"/>
    <col min="13" max="13" width="13.125" style="173" customWidth="1"/>
    <col min="14" max="14" width="13.75" style="285" bestFit="1" customWidth="1"/>
    <col min="15" max="16384" width="9" style="285"/>
  </cols>
  <sheetData>
    <row r="2" spans="2:17" ht="15" thickBot="1"/>
    <row r="3" spans="2:17" ht="15.75" thickBot="1">
      <c r="B3" s="1040" t="s">
        <v>226</v>
      </c>
      <c r="C3" s="1040"/>
      <c r="D3" s="1040"/>
      <c r="E3" s="1040"/>
      <c r="F3" s="1040"/>
      <c r="G3" s="1040"/>
      <c r="H3" s="1040"/>
      <c r="I3" s="1040"/>
      <c r="J3" s="1040"/>
      <c r="K3" s="1040"/>
      <c r="L3" s="158"/>
      <c r="M3" s="681"/>
      <c r="O3" s="854" t="s">
        <v>211</v>
      </c>
      <c r="P3" s="855"/>
      <c r="Q3" s="856"/>
    </row>
    <row r="4" spans="2:17" ht="15" thickBot="1">
      <c r="B4" s="1041" t="s">
        <v>227</v>
      </c>
      <c r="C4" s="1042" t="s">
        <v>228</v>
      </c>
      <c r="D4" s="1042" t="s">
        <v>229</v>
      </c>
      <c r="E4" s="1042" t="s">
        <v>275</v>
      </c>
      <c r="F4" s="1042" t="s">
        <v>230</v>
      </c>
      <c r="G4" s="1042"/>
      <c r="H4" s="1042" t="s">
        <v>231</v>
      </c>
      <c r="I4" s="1043" t="s">
        <v>232</v>
      </c>
      <c r="J4" s="1043"/>
      <c r="K4" s="1043"/>
      <c r="L4" s="1036" t="s">
        <v>287</v>
      </c>
      <c r="M4" s="1036" t="s">
        <v>288</v>
      </c>
      <c r="O4" s="623" t="s">
        <v>212</v>
      </c>
      <c r="P4" s="626">
        <v>3.6</v>
      </c>
      <c r="Q4" s="624" t="s">
        <v>207</v>
      </c>
    </row>
    <row r="5" spans="2:17" ht="51.75" thickBot="1">
      <c r="B5" s="1041"/>
      <c r="C5" s="1042"/>
      <c r="D5" s="1042"/>
      <c r="E5" s="1042"/>
      <c r="F5" s="682" t="s">
        <v>233</v>
      </c>
      <c r="G5" s="682" t="s">
        <v>234</v>
      </c>
      <c r="H5" s="1042"/>
      <c r="I5" s="683" t="s">
        <v>235</v>
      </c>
      <c r="J5" s="683" t="s">
        <v>236</v>
      </c>
      <c r="K5" s="683" t="s">
        <v>237</v>
      </c>
      <c r="L5" s="1037"/>
      <c r="M5" s="1037"/>
      <c r="O5" s="673" t="s">
        <v>213</v>
      </c>
      <c r="P5" s="627">
        <v>0.27700000000000002</v>
      </c>
      <c r="Q5" s="625" t="s">
        <v>214</v>
      </c>
    </row>
    <row r="6" spans="2:17" ht="52.5" customHeight="1">
      <c r="B6" s="682">
        <v>1</v>
      </c>
      <c r="C6" s="741" t="s">
        <v>238</v>
      </c>
      <c r="D6" s="1039" t="s">
        <v>239</v>
      </c>
      <c r="E6" s="681" t="s">
        <v>276</v>
      </c>
      <c r="F6" s="681">
        <v>2020</v>
      </c>
      <c r="G6" s="681">
        <v>2024</v>
      </c>
      <c r="H6" s="167" t="s">
        <v>90</v>
      </c>
      <c r="I6" s="146" t="s">
        <v>90</v>
      </c>
      <c r="J6" s="146" t="s">
        <v>90</v>
      </c>
      <c r="K6" s="680" t="s">
        <v>90</v>
      </c>
      <c r="L6" s="681" t="s">
        <v>293</v>
      </c>
      <c r="M6" s="681" t="s">
        <v>289</v>
      </c>
    </row>
    <row r="7" spans="2:17" ht="65.25" customHeight="1">
      <c r="B7" s="682">
        <v>2</v>
      </c>
      <c r="C7" s="741" t="s">
        <v>240</v>
      </c>
      <c r="D7" s="1039"/>
      <c r="E7" s="681" t="s">
        <v>277</v>
      </c>
      <c r="F7" s="742">
        <v>2020</v>
      </c>
      <c r="G7" s="742">
        <v>2024</v>
      </c>
      <c r="H7" s="167" t="s">
        <v>90</v>
      </c>
      <c r="I7" s="146" t="s">
        <v>90</v>
      </c>
      <c r="J7" s="146" t="s">
        <v>90</v>
      </c>
      <c r="K7" s="680" t="s">
        <v>90</v>
      </c>
      <c r="L7" s="681" t="s">
        <v>294</v>
      </c>
      <c r="M7" s="681" t="s">
        <v>289</v>
      </c>
    </row>
    <row r="8" spans="2:17" ht="62.25" customHeight="1">
      <c r="B8" s="682">
        <v>3</v>
      </c>
      <c r="C8" s="741" t="s">
        <v>241</v>
      </c>
      <c r="D8" s="1039"/>
      <c r="E8" s="681" t="s">
        <v>278</v>
      </c>
      <c r="F8" s="742">
        <v>2020</v>
      </c>
      <c r="G8" s="742">
        <v>2024</v>
      </c>
      <c r="H8" s="167">
        <v>100000</v>
      </c>
      <c r="I8" s="146" t="s">
        <v>90</v>
      </c>
      <c r="J8" s="146" t="s">
        <v>90</v>
      </c>
      <c r="K8" s="680" t="s">
        <v>90</v>
      </c>
      <c r="L8" s="681" t="s">
        <v>295</v>
      </c>
      <c r="M8" s="681" t="s">
        <v>290</v>
      </c>
    </row>
    <row r="9" spans="2:17" ht="63.75">
      <c r="B9" s="682">
        <v>4</v>
      </c>
      <c r="C9" s="741" t="s">
        <v>614</v>
      </c>
      <c r="D9" s="680" t="str">
        <f>'En. elektryczna_2020'!B20</f>
        <v>Komunalne oświetlenie publiczne</v>
      </c>
      <c r="E9" s="681" t="s">
        <v>279</v>
      </c>
      <c r="F9" s="681">
        <v>2020</v>
      </c>
      <c r="G9" s="681">
        <v>2024</v>
      </c>
      <c r="H9" s="167">
        <v>686000</v>
      </c>
      <c r="I9" s="738">
        <v>96.15</v>
      </c>
      <c r="J9" s="738">
        <v>78.069999999999993</v>
      </c>
      <c r="K9" s="739">
        <v>0</v>
      </c>
      <c r="L9" s="681" t="s">
        <v>296</v>
      </c>
      <c r="M9" s="681" t="s">
        <v>291</v>
      </c>
    </row>
    <row r="10" spans="2:17" ht="76.5">
      <c r="B10" s="682">
        <v>5</v>
      </c>
      <c r="C10" s="748" t="s">
        <v>243</v>
      </c>
      <c r="D10" s="1052" t="str">
        <f>D14</f>
        <v>Budynki komunalne</v>
      </c>
      <c r="E10" s="728" t="s">
        <v>280</v>
      </c>
      <c r="F10" s="729">
        <v>2020</v>
      </c>
      <c r="G10" s="729">
        <v>2024</v>
      </c>
      <c r="H10" s="730">
        <v>650000</v>
      </c>
      <c r="I10" s="731">
        <f>0.2*'Budynki komunalne_2014'!H5</f>
        <v>25.897284000000003</v>
      </c>
      <c r="J10" s="731">
        <f>0.2*'Budynki komunalne_2014'!J5</f>
        <v>5.2187234400000007</v>
      </c>
      <c r="K10" s="731">
        <v>0</v>
      </c>
      <c r="L10" s="681" t="s">
        <v>297</v>
      </c>
      <c r="M10" s="681" t="s">
        <v>291</v>
      </c>
    </row>
    <row r="11" spans="2:17" ht="34.5" customHeight="1">
      <c r="B11" s="733">
        <v>6</v>
      </c>
      <c r="C11" s="749" t="s">
        <v>605</v>
      </c>
      <c r="D11" s="1053"/>
      <c r="E11" s="735"/>
      <c r="F11" s="757">
        <v>2020</v>
      </c>
      <c r="G11" s="757">
        <v>2024</v>
      </c>
      <c r="H11" s="736">
        <v>3000000</v>
      </c>
      <c r="I11" s="737">
        <f>0.2*'Budynki komunalne_2014'!H17</f>
        <v>0</v>
      </c>
      <c r="J11" s="731">
        <f>0.2*'Budynki komunalne_2014'!J17</f>
        <v>0</v>
      </c>
      <c r="K11" s="737">
        <v>0</v>
      </c>
      <c r="L11" s="734" t="s">
        <v>297</v>
      </c>
      <c r="M11" s="734" t="s">
        <v>291</v>
      </c>
    </row>
    <row r="12" spans="2:17" ht="31.5" customHeight="1">
      <c r="B12" s="733">
        <v>7</v>
      </c>
      <c r="C12" s="749" t="s">
        <v>606</v>
      </c>
      <c r="D12" s="1053"/>
      <c r="E12" s="735"/>
      <c r="F12" s="757">
        <v>2020</v>
      </c>
      <c r="G12" s="757">
        <v>2024</v>
      </c>
      <c r="H12" s="736">
        <v>2500000</v>
      </c>
      <c r="I12" s="737">
        <f>0.2*'Budynki komunalne_2014'!H18</f>
        <v>0</v>
      </c>
      <c r="J12" s="731">
        <f>0.2*'Budynki komunalne_2014'!J18</f>
        <v>0</v>
      </c>
      <c r="K12" s="737">
        <v>0</v>
      </c>
      <c r="L12" s="734" t="s">
        <v>297</v>
      </c>
      <c r="M12" s="734" t="s">
        <v>291</v>
      </c>
    </row>
    <row r="13" spans="2:17" ht="65.25" customHeight="1">
      <c r="B13" s="733">
        <v>8</v>
      </c>
      <c r="C13" s="741" t="s">
        <v>253</v>
      </c>
      <c r="D13" s="1054"/>
      <c r="E13" s="728" t="s">
        <v>281</v>
      </c>
      <c r="F13" s="729">
        <v>2020</v>
      </c>
      <c r="G13" s="729">
        <v>2024</v>
      </c>
      <c r="H13" s="732">
        <v>560000</v>
      </c>
      <c r="I13" s="731">
        <f>J13/Wskaźniki!C7</f>
        <v>287.21400878609654</v>
      </c>
      <c r="J13" s="731">
        <f>0.1*'Budynki komunalne_2014'!N8</f>
        <v>233.21777513431039</v>
      </c>
      <c r="K13" s="731">
        <f>0.01*'Budynki komunalne_2014'!N5</f>
        <v>104.95133352000001</v>
      </c>
      <c r="L13" s="681" t="s">
        <v>298</v>
      </c>
      <c r="M13" s="681" t="s">
        <v>291</v>
      </c>
    </row>
    <row r="14" spans="2:17" ht="63.75">
      <c r="B14" s="733">
        <v>9</v>
      </c>
      <c r="C14" s="741" t="s">
        <v>244</v>
      </c>
      <c r="D14" s="1052" t="str">
        <f>'En. elektryczna_2020'!B19</f>
        <v>Budynki komunalne</v>
      </c>
      <c r="E14" s="728" t="s">
        <v>282</v>
      </c>
      <c r="F14" s="729">
        <v>2016</v>
      </c>
      <c r="G14" s="729">
        <v>2024</v>
      </c>
      <c r="H14" s="168">
        <f>5000000*0.5</f>
        <v>2500000</v>
      </c>
      <c r="I14" s="731">
        <f>(0.2*'Budynku niekomunalne_2014'!H15)*0.5</f>
        <v>84.723220000000012</v>
      </c>
      <c r="J14" s="731">
        <f>(0.2*'Budynku niekomunalne_2014'!L15)*0.5</f>
        <v>17.073105200000001</v>
      </c>
      <c r="K14" s="731">
        <f>Działania_2020!K12</f>
        <v>33.889288000000008</v>
      </c>
      <c r="L14" s="681" t="s">
        <v>299</v>
      </c>
      <c r="M14" s="681" t="s">
        <v>291</v>
      </c>
      <c r="N14" s="743">
        <f>H14/J14</f>
        <v>146429.13346542255</v>
      </c>
    </row>
    <row r="15" spans="2:17" ht="63.75">
      <c r="B15" s="733">
        <v>10</v>
      </c>
      <c r="C15" s="741" t="s">
        <v>260</v>
      </c>
      <c r="D15" s="1055"/>
      <c r="E15" s="728" t="s">
        <v>282</v>
      </c>
      <c r="F15" s="729">
        <v>2020</v>
      </c>
      <c r="G15" s="729">
        <v>2024</v>
      </c>
      <c r="H15" s="730">
        <v>1500000</v>
      </c>
      <c r="I15" s="731">
        <f>0.2*'Budynku niekomunalne_2014'!H17</f>
        <v>558.69797540000002</v>
      </c>
      <c r="J15" s="731">
        <f>0.2*'Budynku niekomunalne_2014'!L17</f>
        <v>112.58671836399999</v>
      </c>
      <c r="K15" s="731">
        <f>I15*0.2</f>
        <v>111.73959508000002</v>
      </c>
      <c r="L15" s="681" t="s">
        <v>299</v>
      </c>
      <c r="M15" s="681" t="s">
        <v>291</v>
      </c>
    </row>
    <row r="16" spans="2:17" ht="63.75">
      <c r="B16" s="733">
        <v>11</v>
      </c>
      <c r="C16" s="741" t="s">
        <v>245</v>
      </c>
      <c r="D16" s="1055"/>
      <c r="E16" s="728" t="s">
        <v>282</v>
      </c>
      <c r="F16" s="729">
        <v>2016</v>
      </c>
      <c r="G16" s="729">
        <v>2024</v>
      </c>
      <c r="H16" s="730">
        <f>50000000*0.35</f>
        <v>17500000</v>
      </c>
      <c r="I16" s="731">
        <f>(0.2*'Budynku niekomunalne_2014'!H9)-Działania_zrealizowane_do_2020!I14</f>
        <v>289.29880000000003</v>
      </c>
      <c r="J16" s="731">
        <f>(0.2*'Budynku niekomunalne_2014'!L9)-Działania_zrealizowane_do_2020!J14</f>
        <v>58.298408000000009</v>
      </c>
      <c r="K16" s="731">
        <f>Działania_2020!K14-Działania_zrealizowane_do_2020!K14</f>
        <v>57.859760000000023</v>
      </c>
      <c r="L16" s="681" t="s">
        <v>299</v>
      </c>
      <c r="M16" s="681" t="s">
        <v>291</v>
      </c>
      <c r="N16" s="743"/>
    </row>
    <row r="17" spans="2:16" s="753" customFormat="1" ht="63.75">
      <c r="B17" s="750">
        <v>12</v>
      </c>
      <c r="C17" s="741" t="s">
        <v>261</v>
      </c>
      <c r="D17" s="1054"/>
      <c r="E17" s="728" t="s">
        <v>281</v>
      </c>
      <c r="F17" s="729">
        <v>2016</v>
      </c>
      <c r="G17" s="729">
        <v>2024</v>
      </c>
      <c r="H17" s="751">
        <v>24000000</v>
      </c>
      <c r="I17" s="752">
        <f>J17/Wskaźniki!C7</f>
        <v>1153.2329545480311</v>
      </c>
      <c r="J17" s="752">
        <f>0.1*'Budynku niekomunalne_2014'!P8</f>
        <v>936.4251590930013</v>
      </c>
      <c r="K17" s="752">
        <f>0.01*'Budynku niekomunalne_2014'!P5</f>
        <v>332.33584090388206</v>
      </c>
      <c r="L17" s="729" t="s">
        <v>300</v>
      </c>
      <c r="M17" s="729" t="s">
        <v>291</v>
      </c>
    </row>
    <row r="18" spans="2:16" s="753" customFormat="1" ht="38.25" customHeight="1">
      <c r="B18" s="750">
        <v>13</v>
      </c>
      <c r="C18" s="741" t="s">
        <v>246</v>
      </c>
      <c r="D18" s="1056" t="s">
        <v>385</v>
      </c>
      <c r="E18" s="729" t="s">
        <v>279</v>
      </c>
      <c r="F18" s="729">
        <v>2016</v>
      </c>
      <c r="G18" s="729">
        <v>2024</v>
      </c>
      <c r="H18" s="730">
        <v>300000</v>
      </c>
      <c r="I18" s="731">
        <f>'Ścieżki rowerowe'!D27</f>
        <v>48.069016541088004</v>
      </c>
      <c r="J18" s="731">
        <f>'Ścieżki rowerowe'!C27</f>
        <v>12.025930853059201</v>
      </c>
      <c r="K18" s="731">
        <v>0</v>
      </c>
      <c r="L18" s="729" t="s">
        <v>301</v>
      </c>
      <c r="M18" s="729" t="s">
        <v>291</v>
      </c>
      <c r="N18" s="754"/>
    </row>
    <row r="19" spans="2:16" s="753" customFormat="1" ht="36.75" customHeight="1">
      <c r="B19" s="750">
        <v>14</v>
      </c>
      <c r="C19" s="741" t="s">
        <v>247</v>
      </c>
      <c r="D19" s="1056"/>
      <c r="E19" s="729" t="s">
        <v>279</v>
      </c>
      <c r="F19" s="729">
        <v>2016</v>
      </c>
      <c r="G19" s="729">
        <v>2024</v>
      </c>
      <c r="H19" s="730">
        <v>32000</v>
      </c>
      <c r="I19" s="731" t="s">
        <v>90</v>
      </c>
      <c r="J19" s="731">
        <v>3.25</v>
      </c>
      <c r="K19" s="731">
        <v>4</v>
      </c>
      <c r="L19" s="729" t="s">
        <v>302</v>
      </c>
      <c r="M19" s="729" t="s">
        <v>291</v>
      </c>
    </row>
    <row r="20" spans="2:16" s="753" customFormat="1" ht="34.5" customHeight="1">
      <c r="B20" s="750">
        <v>15</v>
      </c>
      <c r="C20" s="741" t="s">
        <v>248</v>
      </c>
      <c r="D20" s="1056"/>
      <c r="E20" s="729" t="s">
        <v>279</v>
      </c>
      <c r="F20" s="729">
        <v>2016</v>
      </c>
      <c r="G20" s="729">
        <v>2024</v>
      </c>
      <c r="H20" s="730">
        <v>5000000</v>
      </c>
      <c r="I20" s="731">
        <f>'Działanie P&amp;R'!D13</f>
        <v>146.80590367968003</v>
      </c>
      <c r="J20" s="731">
        <f>'Działanie P&amp;R'!C13</f>
        <v>36.727975180512004</v>
      </c>
      <c r="K20" s="731">
        <v>0</v>
      </c>
      <c r="L20" s="729" t="s">
        <v>303</v>
      </c>
      <c r="M20" s="729" t="s">
        <v>291</v>
      </c>
    </row>
    <row r="21" spans="2:16" s="753" customFormat="1" ht="62.25" customHeight="1">
      <c r="B21" s="750">
        <v>16</v>
      </c>
      <c r="C21" s="741" t="s">
        <v>283</v>
      </c>
      <c r="D21" s="1056"/>
      <c r="E21" s="729" t="s">
        <v>279</v>
      </c>
      <c r="F21" s="729">
        <v>2016</v>
      </c>
      <c r="G21" s="729">
        <v>2024</v>
      </c>
      <c r="H21" s="730">
        <v>30000</v>
      </c>
      <c r="I21" s="731">
        <f>0.005*'Końcowe zuż. energii_2024'!R21</f>
        <v>250.35150919810397</v>
      </c>
      <c r="J21" s="731">
        <f>0.005*'Emisja CO2_2024'!R21</f>
        <v>64.521703547853591</v>
      </c>
      <c r="K21" s="731">
        <v>0</v>
      </c>
      <c r="L21" s="729" t="s">
        <v>304</v>
      </c>
      <c r="M21" s="729" t="s">
        <v>291</v>
      </c>
    </row>
    <row r="22" spans="2:16" s="753" customFormat="1" ht="63.75">
      <c r="B22" s="750">
        <v>17</v>
      </c>
      <c r="C22" s="741" t="s">
        <v>284</v>
      </c>
      <c r="D22" s="1056"/>
      <c r="E22" s="729" t="s">
        <v>279</v>
      </c>
      <c r="F22" s="729">
        <v>2016</v>
      </c>
      <c r="G22" s="729">
        <v>2024</v>
      </c>
      <c r="H22" s="730">
        <v>20000</v>
      </c>
      <c r="I22" s="731">
        <f>0.001*'Końcowe zuż. energii_2024'!R21</f>
        <v>50.07030183962079</v>
      </c>
      <c r="J22" s="731">
        <f>0.001*'Emisja CO2_2024'!R21</f>
        <v>12.904340709570718</v>
      </c>
      <c r="K22" s="731">
        <v>0</v>
      </c>
      <c r="L22" s="729" t="s">
        <v>305</v>
      </c>
      <c r="M22" s="729" t="s">
        <v>291</v>
      </c>
    </row>
    <row r="23" spans="2:16" s="753" customFormat="1" ht="63.75">
      <c r="B23" s="750">
        <v>18</v>
      </c>
      <c r="C23" s="741" t="s">
        <v>249</v>
      </c>
      <c r="D23" s="731" t="s">
        <v>456</v>
      </c>
      <c r="E23" s="729" t="s">
        <v>285</v>
      </c>
      <c r="F23" s="729">
        <v>2016</v>
      </c>
      <c r="G23" s="729">
        <v>2024</v>
      </c>
      <c r="H23" s="730">
        <v>840000</v>
      </c>
      <c r="I23" s="731">
        <v>0</v>
      </c>
      <c r="J23" s="731">
        <f>'Działania_do realizacji'!D37</f>
        <v>97.440000000000012</v>
      </c>
      <c r="K23" s="731">
        <f>'Działania_do realizacji'!D36</f>
        <v>120</v>
      </c>
      <c r="L23" s="729" t="s">
        <v>298</v>
      </c>
      <c r="M23" s="729" t="s">
        <v>291</v>
      </c>
    </row>
    <row r="24" spans="2:16" s="753" customFormat="1" ht="63.75">
      <c r="B24" s="750">
        <v>19</v>
      </c>
      <c r="C24" s="741" t="s">
        <v>604</v>
      </c>
      <c r="D24" s="1038" t="str">
        <f>'En. elektryczna_2020'!B18</f>
        <v>Budynki mieszkalne</v>
      </c>
      <c r="E24" s="729" t="s">
        <v>286</v>
      </c>
      <c r="F24" s="729">
        <v>2020</v>
      </c>
      <c r="G24" s="729">
        <v>2024</v>
      </c>
      <c r="H24" s="730">
        <v>1280000</v>
      </c>
      <c r="I24" s="731">
        <v>0</v>
      </c>
      <c r="J24" s="731">
        <f>'Działania_do realizacji'!D24</f>
        <v>129.92000000000002</v>
      </c>
      <c r="K24" s="731">
        <f>'Działania_do realizacji'!D23</f>
        <v>160</v>
      </c>
      <c r="L24" s="729" t="s">
        <v>298</v>
      </c>
      <c r="M24" s="729" t="s">
        <v>291</v>
      </c>
    </row>
    <row r="25" spans="2:16" s="753" customFormat="1" ht="63.75">
      <c r="B25" s="750">
        <v>20</v>
      </c>
      <c r="C25" s="741" t="s">
        <v>255</v>
      </c>
      <c r="D25" s="1039"/>
      <c r="E25" s="729" t="s">
        <v>286</v>
      </c>
      <c r="F25" s="729">
        <v>2016</v>
      </c>
      <c r="G25" s="729">
        <v>2020</v>
      </c>
      <c r="H25" s="730">
        <v>700000</v>
      </c>
      <c r="I25" s="731">
        <v>0</v>
      </c>
      <c r="J25" s="731">
        <f>'Działania_do realizacji'!D11</f>
        <v>84.21875</v>
      </c>
      <c r="K25" s="731">
        <f>'Działania_do realizacji'!D9*Działania_2024!P5</f>
        <v>238.04687500000003</v>
      </c>
      <c r="L25" s="729" t="s">
        <v>298</v>
      </c>
      <c r="M25" s="729" t="s">
        <v>291</v>
      </c>
    </row>
    <row r="26" spans="2:16" s="753" customFormat="1" ht="63.75">
      <c r="B26" s="750">
        <v>21</v>
      </c>
      <c r="C26" s="741" t="s">
        <v>256</v>
      </c>
      <c r="D26" s="1039"/>
      <c r="E26" s="729" t="s">
        <v>286</v>
      </c>
      <c r="F26" s="729">
        <v>2016</v>
      </c>
      <c r="G26" s="729">
        <v>2020</v>
      </c>
      <c r="H26" s="730">
        <v>229320</v>
      </c>
      <c r="I26" s="731">
        <f>'Działania_do realizacji'!D49</f>
        <v>56.476788421549209</v>
      </c>
      <c r="J26" s="731">
        <f>'Działania_do realizacji'!D53</f>
        <v>45.859152198297963</v>
      </c>
      <c r="K26" s="731">
        <f>'Działania_do realizacji'!D52</f>
        <v>112.95357684309843</v>
      </c>
      <c r="L26" s="729" t="s">
        <v>298</v>
      </c>
      <c r="M26" s="729" t="s">
        <v>291</v>
      </c>
    </row>
    <row r="27" spans="2:16" ht="76.5">
      <c r="B27" s="733">
        <v>22</v>
      </c>
      <c r="C27" s="741" t="s">
        <v>250</v>
      </c>
      <c r="D27" s="1039"/>
      <c r="E27" s="681" t="s">
        <v>286</v>
      </c>
      <c r="F27" s="681">
        <v>2020</v>
      </c>
      <c r="G27" s="681">
        <v>2024</v>
      </c>
      <c r="H27" s="168">
        <v>2500000</v>
      </c>
      <c r="I27" s="680">
        <f>(50*Charakterystyka_2024!P86*'Ciepło_gosp. dom._2024'!C16)*0.2*P5</f>
        <v>136.95340840831187</v>
      </c>
      <c r="J27" s="680">
        <f>I27/P5*Wskaźniki!C8</f>
        <v>46.836088009095242</v>
      </c>
      <c r="K27" s="680">
        <v>0</v>
      </c>
      <c r="L27" s="681" t="s">
        <v>297</v>
      </c>
      <c r="M27" s="681" t="s">
        <v>291</v>
      </c>
    </row>
    <row r="28" spans="2:16" ht="25.5">
      <c r="B28" s="733">
        <v>23</v>
      </c>
      <c r="C28" s="741" t="s">
        <v>393</v>
      </c>
      <c r="D28" s="1039"/>
      <c r="E28" s="681" t="s">
        <v>286</v>
      </c>
      <c r="F28" s="681">
        <v>2020</v>
      </c>
      <c r="G28" s="681">
        <v>2024</v>
      </c>
      <c r="H28" s="168">
        <v>480000</v>
      </c>
      <c r="I28" s="680">
        <v>0</v>
      </c>
      <c r="J28" s="680">
        <f>'Działania_do realizacji'!D66</f>
        <v>281.01652805457138</v>
      </c>
      <c r="K28" s="680">
        <v>0</v>
      </c>
      <c r="L28" s="681" t="s">
        <v>306</v>
      </c>
      <c r="M28" s="681" t="s">
        <v>292</v>
      </c>
      <c r="N28" s="821"/>
    </row>
    <row r="29" spans="2:16" ht="76.5">
      <c r="B29" s="733">
        <v>24</v>
      </c>
      <c r="C29" s="750" t="s">
        <v>640</v>
      </c>
      <c r="D29" s="1050" t="s">
        <v>386</v>
      </c>
      <c r="E29" s="734" t="s">
        <v>642</v>
      </c>
      <c r="F29" s="734">
        <v>2023</v>
      </c>
      <c r="G29" s="734">
        <v>2023</v>
      </c>
      <c r="H29" s="820">
        <v>3000000</v>
      </c>
      <c r="I29" s="767">
        <v>156.85400000000001</v>
      </c>
      <c r="J29" s="767">
        <v>31.242999999999999</v>
      </c>
      <c r="K29" s="767">
        <v>0</v>
      </c>
      <c r="L29" s="734" t="s">
        <v>297</v>
      </c>
      <c r="M29" s="734" t="s">
        <v>291</v>
      </c>
      <c r="N29" s="821"/>
    </row>
    <row r="30" spans="2:16" ht="76.5">
      <c r="B30" s="733">
        <v>25</v>
      </c>
      <c r="C30" s="741" t="s">
        <v>641</v>
      </c>
      <c r="D30" s="1051"/>
      <c r="E30" s="734" t="s">
        <v>642</v>
      </c>
      <c r="F30" s="816">
        <v>2019</v>
      </c>
      <c r="G30" s="816">
        <v>2023</v>
      </c>
      <c r="H30" s="168">
        <v>4500000</v>
      </c>
      <c r="I30" s="815">
        <v>86.602999999999994</v>
      </c>
      <c r="J30" s="815">
        <v>17.25</v>
      </c>
      <c r="K30" s="815">
        <v>0</v>
      </c>
      <c r="L30" s="734" t="s">
        <v>297</v>
      </c>
      <c r="M30" s="734" t="s">
        <v>291</v>
      </c>
      <c r="N30" s="821"/>
      <c r="O30" s="286"/>
      <c r="P30" s="286"/>
    </row>
    <row r="31" spans="2:16" ht="15">
      <c r="C31" s="140" t="s">
        <v>251</v>
      </c>
      <c r="H31" s="759">
        <f>SUM(H8:H30)</f>
        <v>71907320</v>
      </c>
      <c r="I31" s="172">
        <f>SUM(I6:I30)</f>
        <v>3427.3981708224815</v>
      </c>
      <c r="J31" s="172">
        <f>SUM(J9:J30)</f>
        <v>2304.1033577842718</v>
      </c>
      <c r="K31" s="172">
        <f>SUM(K9:K30)</f>
        <v>1275.7762693469806</v>
      </c>
      <c r="L31" s="158"/>
      <c r="M31" s="681"/>
    </row>
    <row r="32" spans="2:16">
      <c r="J32" s="307"/>
    </row>
  </sheetData>
  <mergeCells count="17">
    <mergeCell ref="D18:D22"/>
    <mergeCell ref="D29:D30"/>
    <mergeCell ref="B3:K3"/>
    <mergeCell ref="O3:Q3"/>
    <mergeCell ref="B4:B5"/>
    <mergeCell ref="C4:C5"/>
    <mergeCell ref="D4:D5"/>
    <mergeCell ref="E4:E5"/>
    <mergeCell ref="F4:G4"/>
    <mergeCell ref="H4:H5"/>
    <mergeCell ref="I4:K4"/>
    <mergeCell ref="L4:L5"/>
    <mergeCell ref="D24:D28"/>
    <mergeCell ref="M4:M5"/>
    <mergeCell ref="D6:D8"/>
    <mergeCell ref="D10:D13"/>
    <mergeCell ref="D14:D17"/>
  </mergeCells>
  <pageMargins left="0.7" right="0.7" top="0.75" bottom="0.75" header="0.3" footer="0.3"/>
  <pageSetup paperSize="9" scale="49" fitToHeight="0" orientation="landscape" r:id="rId1"/>
  <colBreaks count="1" manualBreakCount="1">
    <brk id="13" max="26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topLeftCell="A52" workbookViewId="0">
      <selection activeCell="H17" sqref="H17"/>
    </sheetView>
  </sheetViews>
  <sheetFormatPr defaultRowHeight="15"/>
  <cols>
    <col min="1" max="1" width="3.875" style="609" customWidth="1"/>
    <col min="2" max="2" width="3.5" style="622" customWidth="1"/>
    <col min="3" max="3" width="42.25" style="609" customWidth="1"/>
    <col min="4" max="4" width="14.875" style="609" customWidth="1"/>
    <col min="5" max="5" width="10.875" style="609" customWidth="1"/>
    <col min="6" max="6" width="22.75" style="609" customWidth="1"/>
    <col min="7" max="16384" width="9" style="609"/>
  </cols>
  <sheetData>
    <row r="1" spans="2:6" ht="15.75" thickBot="1"/>
    <row r="2" spans="2:6" ht="15.75" thickBot="1">
      <c r="B2" s="1044" t="s">
        <v>514</v>
      </c>
      <c r="C2" s="1045"/>
      <c r="D2" s="1045"/>
      <c r="E2" s="1045"/>
      <c r="F2" s="1046"/>
    </row>
    <row r="3" spans="2:6">
      <c r="B3" s="628" t="s">
        <v>227</v>
      </c>
      <c r="C3" s="610" t="s">
        <v>515</v>
      </c>
      <c r="D3" s="610" t="s">
        <v>271</v>
      </c>
      <c r="E3" s="610" t="s">
        <v>67</v>
      </c>
      <c r="F3" s="611" t="s">
        <v>516</v>
      </c>
    </row>
    <row r="4" spans="2:6">
      <c r="B4" s="629">
        <v>1</v>
      </c>
      <c r="C4" s="612" t="s">
        <v>517</v>
      </c>
      <c r="D4" s="725">
        <v>50</v>
      </c>
      <c r="E4" s="612" t="s">
        <v>518</v>
      </c>
      <c r="F4" s="614" t="s">
        <v>519</v>
      </c>
    </row>
    <row r="5" spans="2:6">
      <c r="B5" s="630">
        <v>2</v>
      </c>
      <c r="C5" s="615" t="s">
        <v>520</v>
      </c>
      <c r="D5" s="616">
        <v>5</v>
      </c>
      <c r="E5" s="615" t="s">
        <v>521</v>
      </c>
      <c r="F5" s="617" t="s">
        <v>519</v>
      </c>
    </row>
    <row r="6" spans="2:6">
      <c r="B6" s="630">
        <v>3</v>
      </c>
      <c r="C6" s="615" t="s">
        <v>522</v>
      </c>
      <c r="D6" s="616">
        <v>12.5</v>
      </c>
      <c r="E6" s="615" t="s">
        <v>523</v>
      </c>
      <c r="F6" s="617" t="s">
        <v>524</v>
      </c>
    </row>
    <row r="7" spans="2:6">
      <c r="B7" s="630">
        <v>4</v>
      </c>
      <c r="C7" s="615" t="s">
        <v>525</v>
      </c>
      <c r="D7" s="616">
        <v>275</v>
      </c>
      <c r="E7" s="615" t="s">
        <v>526</v>
      </c>
      <c r="F7" s="617" t="s">
        <v>524</v>
      </c>
    </row>
    <row r="8" spans="2:6">
      <c r="B8" s="630">
        <v>5</v>
      </c>
      <c r="C8" s="615" t="s">
        <v>527</v>
      </c>
      <c r="D8" s="616">
        <f>D7*D6*D5</f>
        <v>17187.5</v>
      </c>
      <c r="E8" s="615" t="s">
        <v>528</v>
      </c>
      <c r="F8" s="617"/>
    </row>
    <row r="9" spans="2:6">
      <c r="B9" s="630">
        <v>6</v>
      </c>
      <c r="C9" s="615" t="s">
        <v>529</v>
      </c>
      <c r="D9" s="616">
        <f>D8*D4/1000</f>
        <v>859.375</v>
      </c>
      <c r="E9" s="615" t="s">
        <v>207</v>
      </c>
      <c r="F9" s="617"/>
    </row>
    <row r="10" spans="2:6">
      <c r="B10" s="630">
        <v>7</v>
      </c>
      <c r="C10" s="615" t="s">
        <v>530</v>
      </c>
      <c r="D10" s="618">
        <v>9.8000000000000004E-2</v>
      </c>
      <c r="E10" s="615" t="s">
        <v>531</v>
      </c>
      <c r="F10" s="617" t="s">
        <v>532</v>
      </c>
    </row>
    <row r="11" spans="2:6">
      <c r="B11" s="630">
        <v>8</v>
      </c>
      <c r="C11" s="615" t="s">
        <v>533</v>
      </c>
      <c r="D11" s="616">
        <f>D10*D9</f>
        <v>84.21875</v>
      </c>
      <c r="E11" s="615" t="s">
        <v>534</v>
      </c>
      <c r="F11" s="617"/>
    </row>
    <row r="12" spans="2:6">
      <c r="B12" s="630">
        <v>9</v>
      </c>
      <c r="C12" s="615" t="s">
        <v>535</v>
      </c>
      <c r="D12" s="616">
        <v>14000</v>
      </c>
      <c r="E12" s="615" t="s">
        <v>536</v>
      </c>
      <c r="F12" s="617" t="s">
        <v>524</v>
      </c>
    </row>
    <row r="13" spans="2:6">
      <c r="B13" s="630">
        <v>10</v>
      </c>
      <c r="C13" s="615" t="s">
        <v>537</v>
      </c>
      <c r="D13" s="616">
        <f>D12*D4</f>
        <v>700000</v>
      </c>
      <c r="E13" s="615" t="s">
        <v>538</v>
      </c>
      <c r="F13" s="617"/>
    </row>
    <row r="14" spans="2:6" ht="15.75" thickBot="1">
      <c r="B14" s="631">
        <v>11</v>
      </c>
      <c r="C14" s="619" t="s">
        <v>539</v>
      </c>
      <c r="D14" s="620">
        <f>D13/D11</f>
        <v>8311.6883116883109</v>
      </c>
      <c r="E14" s="619" t="s">
        <v>540</v>
      </c>
      <c r="F14" s="621"/>
    </row>
    <row r="15" spans="2:6" ht="15.75" thickBot="1"/>
    <row r="16" spans="2:6" ht="15.75" thickBot="1">
      <c r="B16" s="1044" t="s">
        <v>550</v>
      </c>
      <c r="C16" s="1045"/>
      <c r="D16" s="1045"/>
      <c r="E16" s="1045"/>
      <c r="F16" s="1046"/>
    </row>
    <row r="17" spans="2:6">
      <c r="B17" s="628" t="s">
        <v>227</v>
      </c>
      <c r="C17" s="610" t="s">
        <v>515</v>
      </c>
      <c r="D17" s="610" t="s">
        <v>271</v>
      </c>
      <c r="E17" s="610" t="s">
        <v>67</v>
      </c>
      <c r="F17" s="611" t="s">
        <v>516</v>
      </c>
    </row>
    <row r="18" spans="2:6">
      <c r="B18" s="629">
        <v>1</v>
      </c>
      <c r="C18" s="612" t="s">
        <v>517</v>
      </c>
      <c r="D18" s="613">
        <v>40</v>
      </c>
      <c r="E18" s="612" t="s">
        <v>518</v>
      </c>
      <c r="F18" s="614" t="s">
        <v>519</v>
      </c>
    </row>
    <row r="19" spans="2:6">
      <c r="B19" s="630">
        <v>2</v>
      </c>
      <c r="C19" s="615" t="s">
        <v>541</v>
      </c>
      <c r="D19" s="616">
        <v>4</v>
      </c>
      <c r="E19" s="615" t="s">
        <v>542</v>
      </c>
      <c r="F19" s="617" t="s">
        <v>519</v>
      </c>
    </row>
    <row r="20" spans="2:6">
      <c r="B20" s="630">
        <v>3</v>
      </c>
      <c r="C20" s="615" t="s">
        <v>543</v>
      </c>
      <c r="D20" s="616">
        <f>D19*D18</f>
        <v>160</v>
      </c>
      <c r="E20" s="615" t="s">
        <v>542</v>
      </c>
      <c r="F20" s="617"/>
    </row>
    <row r="21" spans="2:6">
      <c r="B21" s="630">
        <v>4</v>
      </c>
      <c r="C21" s="615" t="s">
        <v>544</v>
      </c>
      <c r="D21" s="616">
        <v>1</v>
      </c>
      <c r="E21" s="615" t="s">
        <v>235</v>
      </c>
      <c r="F21" s="617" t="s">
        <v>524</v>
      </c>
    </row>
    <row r="22" spans="2:6">
      <c r="B22" s="630">
        <v>5</v>
      </c>
      <c r="C22" s="615" t="s">
        <v>545</v>
      </c>
      <c r="D22" s="616">
        <v>0.81200000000000006</v>
      </c>
      <c r="E22" s="615" t="s">
        <v>546</v>
      </c>
      <c r="F22" s="617" t="s">
        <v>553</v>
      </c>
    </row>
    <row r="23" spans="2:6">
      <c r="B23" s="630">
        <v>6</v>
      </c>
      <c r="C23" s="615" t="s">
        <v>547</v>
      </c>
      <c r="D23" s="616">
        <f>D20*D21</f>
        <v>160</v>
      </c>
      <c r="E23" s="615" t="s">
        <v>235</v>
      </c>
      <c r="F23" s="617"/>
    </row>
    <row r="24" spans="2:6">
      <c r="B24" s="630">
        <v>7</v>
      </c>
      <c r="C24" s="615" t="s">
        <v>533</v>
      </c>
      <c r="D24" s="616">
        <f>D23*D22</f>
        <v>129.92000000000002</v>
      </c>
      <c r="E24" s="615" t="s">
        <v>534</v>
      </c>
      <c r="F24" s="617"/>
    </row>
    <row r="25" spans="2:6">
      <c r="B25" s="630">
        <v>8</v>
      </c>
      <c r="C25" s="615" t="s">
        <v>548</v>
      </c>
      <c r="D25" s="616">
        <v>8000</v>
      </c>
      <c r="E25" s="615" t="s">
        <v>549</v>
      </c>
      <c r="F25" s="617" t="s">
        <v>524</v>
      </c>
    </row>
    <row r="26" spans="2:6">
      <c r="B26" s="630">
        <v>9</v>
      </c>
      <c r="C26" s="615" t="s">
        <v>537</v>
      </c>
      <c r="D26" s="616">
        <f>D25*D20</f>
        <v>1280000</v>
      </c>
      <c r="E26" s="615" t="s">
        <v>549</v>
      </c>
      <c r="F26" s="617"/>
    </row>
    <row r="27" spans="2:6" ht="15.75" thickBot="1">
      <c r="B27" s="631">
        <v>10</v>
      </c>
      <c r="C27" s="619" t="s">
        <v>539</v>
      </c>
      <c r="D27" s="620">
        <f>D25*D20/D24</f>
        <v>9852.216748768471</v>
      </c>
      <c r="E27" s="619" t="s">
        <v>540</v>
      </c>
      <c r="F27" s="621"/>
    </row>
    <row r="28" spans="2:6" ht="15.75" thickBot="1"/>
    <row r="29" spans="2:6" ht="15.75" thickBot="1">
      <c r="B29" s="1044" t="s">
        <v>249</v>
      </c>
      <c r="C29" s="1045"/>
      <c r="D29" s="1045"/>
      <c r="E29" s="1045"/>
      <c r="F29" s="1046"/>
    </row>
    <row r="30" spans="2:6">
      <c r="B30" s="628" t="s">
        <v>227</v>
      </c>
      <c r="C30" s="610" t="s">
        <v>515</v>
      </c>
      <c r="D30" s="610" t="s">
        <v>271</v>
      </c>
      <c r="E30" s="610" t="s">
        <v>67</v>
      </c>
      <c r="F30" s="611" t="s">
        <v>516</v>
      </c>
    </row>
    <row r="31" spans="2:6">
      <c r="B31" s="629">
        <v>1</v>
      </c>
      <c r="C31" s="612" t="s">
        <v>517</v>
      </c>
      <c r="D31" s="727">
        <v>3</v>
      </c>
      <c r="E31" s="612" t="s">
        <v>518</v>
      </c>
      <c r="F31" s="614" t="s">
        <v>519</v>
      </c>
    </row>
    <row r="32" spans="2:6">
      <c r="B32" s="630">
        <v>2</v>
      </c>
      <c r="C32" s="615" t="s">
        <v>541</v>
      </c>
      <c r="D32" s="616">
        <v>40</v>
      </c>
      <c r="E32" s="615" t="s">
        <v>542</v>
      </c>
      <c r="F32" s="617" t="s">
        <v>519</v>
      </c>
    </row>
    <row r="33" spans="2:6">
      <c r="B33" s="630">
        <v>3</v>
      </c>
      <c r="C33" s="615" t="s">
        <v>543</v>
      </c>
      <c r="D33" s="616">
        <f>D32*D31</f>
        <v>120</v>
      </c>
      <c r="E33" s="615" t="s">
        <v>542</v>
      </c>
      <c r="F33" s="617"/>
    </row>
    <row r="34" spans="2:6">
      <c r="B34" s="630">
        <v>4</v>
      </c>
      <c r="C34" s="615" t="s">
        <v>551</v>
      </c>
      <c r="D34" s="616">
        <v>1</v>
      </c>
      <c r="E34" s="615" t="s">
        <v>235</v>
      </c>
      <c r="F34" s="617" t="s">
        <v>524</v>
      </c>
    </row>
    <row r="35" spans="2:6">
      <c r="B35" s="630">
        <v>5</v>
      </c>
      <c r="C35" s="615" t="s">
        <v>545</v>
      </c>
      <c r="D35" s="616">
        <v>0.81200000000000006</v>
      </c>
      <c r="E35" s="615" t="s">
        <v>546</v>
      </c>
      <c r="F35" s="617" t="s">
        <v>553</v>
      </c>
    </row>
    <row r="36" spans="2:6">
      <c r="B36" s="630">
        <v>6</v>
      </c>
      <c r="C36" s="615" t="s">
        <v>552</v>
      </c>
      <c r="D36" s="616">
        <f>D33*D34</f>
        <v>120</v>
      </c>
      <c r="E36" s="615" t="s">
        <v>235</v>
      </c>
      <c r="F36" s="617"/>
    </row>
    <row r="37" spans="2:6">
      <c r="B37" s="630">
        <v>7</v>
      </c>
      <c r="C37" s="615" t="s">
        <v>533</v>
      </c>
      <c r="D37" s="616">
        <f>D36*D35</f>
        <v>97.440000000000012</v>
      </c>
      <c r="E37" s="615" t="s">
        <v>534</v>
      </c>
      <c r="F37" s="617"/>
    </row>
    <row r="38" spans="2:6">
      <c r="B38" s="630">
        <v>8</v>
      </c>
      <c r="C38" s="615" t="s">
        <v>548</v>
      </c>
      <c r="D38" s="616">
        <v>7000</v>
      </c>
      <c r="E38" s="615" t="s">
        <v>549</v>
      </c>
      <c r="F38" s="617" t="s">
        <v>524</v>
      </c>
    </row>
    <row r="39" spans="2:6">
      <c r="B39" s="630">
        <v>9</v>
      </c>
      <c r="C39" s="615" t="s">
        <v>537</v>
      </c>
      <c r="D39" s="616">
        <f>D38*D33</f>
        <v>840000</v>
      </c>
      <c r="E39" s="615" t="s">
        <v>549</v>
      </c>
      <c r="F39" s="617"/>
    </row>
    <row r="40" spans="2:6" ht="15.75" thickBot="1">
      <c r="B40" s="631">
        <v>10</v>
      </c>
      <c r="C40" s="619" t="s">
        <v>539</v>
      </c>
      <c r="D40" s="620">
        <f>D38*D33/D37</f>
        <v>8620.689655172413</v>
      </c>
      <c r="E40" s="619" t="s">
        <v>540</v>
      </c>
      <c r="F40" s="621"/>
    </row>
    <row r="41" spans="2:6" ht="15.75" thickBot="1"/>
    <row r="42" spans="2:6" ht="15.75" thickBot="1">
      <c r="B42" s="1044" t="s">
        <v>256</v>
      </c>
      <c r="C42" s="1045"/>
      <c r="D42" s="1045"/>
      <c r="E42" s="1045"/>
      <c r="F42" s="1046"/>
    </row>
    <row r="43" spans="2:6">
      <c r="B43" s="628" t="s">
        <v>227</v>
      </c>
      <c r="C43" s="610" t="s">
        <v>515</v>
      </c>
      <c r="D43" s="610" t="s">
        <v>271</v>
      </c>
      <c r="E43" s="610" t="s">
        <v>67</v>
      </c>
      <c r="F43" s="611" t="s">
        <v>516</v>
      </c>
    </row>
    <row r="44" spans="2:6">
      <c r="B44" s="629">
        <v>1</v>
      </c>
      <c r="C44" s="612" t="s">
        <v>561</v>
      </c>
      <c r="D44" s="727">
        <v>2</v>
      </c>
      <c r="E44" s="612" t="s">
        <v>562</v>
      </c>
      <c r="F44" s="614" t="s">
        <v>572</v>
      </c>
    </row>
    <row r="45" spans="2:6" ht="25.5">
      <c r="B45" s="630">
        <v>2</v>
      </c>
      <c r="C45" s="651" t="s">
        <v>567</v>
      </c>
      <c r="D45" s="652">
        <v>3</v>
      </c>
      <c r="E45" s="651" t="s">
        <v>214</v>
      </c>
      <c r="F45" s="653" t="s">
        <v>573</v>
      </c>
    </row>
    <row r="46" spans="2:6">
      <c r="B46" s="630">
        <v>3</v>
      </c>
      <c r="C46" s="615" t="s">
        <v>563</v>
      </c>
      <c r="D46" s="616">
        <v>150</v>
      </c>
      <c r="E46" s="615" t="s">
        <v>521</v>
      </c>
      <c r="F46" s="617" t="s">
        <v>574</v>
      </c>
    </row>
    <row r="47" spans="2:6">
      <c r="B47" s="630">
        <v>4</v>
      </c>
      <c r="C47" s="615" t="s">
        <v>564</v>
      </c>
      <c r="D47" s="616">
        <f>'Ciepło_gosp. dom._2024'!C16</f>
        <v>0.6796244094049243</v>
      </c>
      <c r="E47" s="615" t="s">
        <v>565</v>
      </c>
      <c r="F47" s="617" t="s">
        <v>575</v>
      </c>
    </row>
    <row r="48" spans="2:6">
      <c r="B48" s="630">
        <v>5</v>
      </c>
      <c r="C48" s="615" t="s">
        <v>564</v>
      </c>
      <c r="D48" s="616">
        <f>D47*Działania_2020!P5</f>
        <v>0.18825596140516404</v>
      </c>
      <c r="E48" s="615" t="s">
        <v>566</v>
      </c>
      <c r="F48" s="617"/>
    </row>
    <row r="49" spans="2:6">
      <c r="B49" s="630">
        <v>6</v>
      </c>
      <c r="C49" s="615" t="s">
        <v>577</v>
      </c>
      <c r="D49" s="616">
        <f>(D46*D48)*D44</f>
        <v>56.476788421549209</v>
      </c>
      <c r="E49" s="615" t="s">
        <v>235</v>
      </c>
      <c r="F49" s="617"/>
    </row>
    <row r="50" spans="2:6">
      <c r="B50" s="630">
        <v>7</v>
      </c>
      <c r="C50" s="615" t="s">
        <v>545</v>
      </c>
      <c r="D50" s="616">
        <v>0.81200000000000006</v>
      </c>
      <c r="E50" s="615" t="s">
        <v>546</v>
      </c>
      <c r="F50" s="617" t="s">
        <v>553</v>
      </c>
    </row>
    <row r="51" spans="2:6">
      <c r="B51" s="630">
        <v>8</v>
      </c>
      <c r="C51" s="615" t="s">
        <v>547</v>
      </c>
      <c r="D51" s="616">
        <f>D45*D49</f>
        <v>169.43036526464763</v>
      </c>
      <c r="E51" s="615" t="s">
        <v>235</v>
      </c>
      <c r="F51" s="617"/>
    </row>
    <row r="52" spans="2:6">
      <c r="B52" s="630">
        <v>9</v>
      </c>
      <c r="C52" s="615" t="s">
        <v>576</v>
      </c>
      <c r="D52" s="616">
        <f>D51-D49</f>
        <v>112.95357684309843</v>
      </c>
      <c r="E52" s="615" t="s">
        <v>235</v>
      </c>
      <c r="F52" s="617"/>
    </row>
    <row r="53" spans="2:6">
      <c r="B53" s="630">
        <v>10</v>
      </c>
      <c r="C53" s="615" t="s">
        <v>533</v>
      </c>
      <c r="D53" s="616">
        <f>D49*D50</f>
        <v>45.859152198297963</v>
      </c>
      <c r="E53" s="615" t="s">
        <v>534</v>
      </c>
      <c r="F53" s="617"/>
    </row>
    <row r="54" spans="2:6">
      <c r="B54" s="630">
        <v>11</v>
      </c>
      <c r="C54" s="648" t="s">
        <v>570</v>
      </c>
      <c r="D54" s="649">
        <v>114660</v>
      </c>
      <c r="E54" s="648" t="s">
        <v>569</v>
      </c>
      <c r="F54" s="650" t="s">
        <v>571</v>
      </c>
    </row>
    <row r="55" spans="2:6" ht="15.75" thickBot="1">
      <c r="B55" s="631">
        <v>12</v>
      </c>
      <c r="C55" s="619" t="s">
        <v>568</v>
      </c>
      <c r="D55" s="620">
        <f>D54*D44</f>
        <v>229320</v>
      </c>
      <c r="E55" s="619" t="s">
        <v>538</v>
      </c>
      <c r="F55" s="621"/>
    </row>
    <row r="56" spans="2:6" ht="15.75" thickBot="1"/>
    <row r="57" spans="2:6" ht="15.75" thickBot="1">
      <c r="B57" s="1047" t="s">
        <v>578</v>
      </c>
      <c r="C57" s="1048"/>
      <c r="D57" s="1048"/>
      <c r="E57" s="1048"/>
      <c r="F57" s="1049"/>
    </row>
    <row r="58" spans="2:6" ht="15.75" thickBot="1">
      <c r="B58" s="657" t="s">
        <v>227</v>
      </c>
      <c r="C58" s="660" t="s">
        <v>515</v>
      </c>
      <c r="D58" s="660" t="s">
        <v>271</v>
      </c>
      <c r="E58" s="660" t="s">
        <v>67</v>
      </c>
      <c r="F58" s="661" t="s">
        <v>516</v>
      </c>
    </row>
    <row r="59" spans="2:6">
      <c r="B59" s="662">
        <v>1</v>
      </c>
      <c r="C59" s="663" t="s">
        <v>579</v>
      </c>
      <c r="D59" s="664">
        <f>Charakterystyka_2024!P28</f>
        <v>5372</v>
      </c>
      <c r="E59" s="665" t="s">
        <v>518</v>
      </c>
      <c r="F59" s="666" t="s">
        <v>580</v>
      </c>
    </row>
    <row r="60" spans="2:6">
      <c r="B60" s="658">
        <v>2</v>
      </c>
      <c r="C60" s="656" t="s">
        <v>581</v>
      </c>
      <c r="D60" s="654">
        <f>Charakterystyka_2024!P86</f>
        <v>72.74851079672375</v>
      </c>
      <c r="E60" s="615" t="s">
        <v>521</v>
      </c>
      <c r="F60" s="617" t="s">
        <v>580</v>
      </c>
    </row>
    <row r="61" spans="2:6">
      <c r="B61" s="658">
        <v>3</v>
      </c>
      <c r="C61" s="656" t="s">
        <v>582</v>
      </c>
      <c r="D61" s="616">
        <f>Charakterystyka_2024!P67</f>
        <v>390805</v>
      </c>
      <c r="E61" s="615" t="s">
        <v>521</v>
      </c>
      <c r="F61" s="617"/>
    </row>
    <row r="62" spans="2:6">
      <c r="B62" s="658">
        <v>4</v>
      </c>
      <c r="C62" s="656" t="s">
        <v>583</v>
      </c>
      <c r="D62" s="654">
        <f>'Ciepło_gosp. dom._2024'!C14</f>
        <v>253266.11391120145</v>
      </c>
      <c r="E62" s="615" t="s">
        <v>584</v>
      </c>
      <c r="F62" s="655" t="s">
        <v>585</v>
      </c>
    </row>
    <row r="63" spans="2:6">
      <c r="B63" s="658">
        <v>5</v>
      </c>
      <c r="C63" s="656" t="s">
        <v>583</v>
      </c>
      <c r="D63" s="618">
        <f>'Ciepło_gosp. dom._2024'!C16</f>
        <v>0.6796244094049243</v>
      </c>
      <c r="E63" s="615" t="s">
        <v>586</v>
      </c>
      <c r="F63" s="617"/>
    </row>
    <row r="64" spans="2:6">
      <c r="B64" s="658">
        <v>6</v>
      </c>
      <c r="C64" s="656" t="s">
        <v>587</v>
      </c>
      <c r="D64" s="616">
        <v>60</v>
      </c>
      <c r="E64" s="615" t="s">
        <v>518</v>
      </c>
      <c r="F64" s="617"/>
    </row>
    <row r="65" spans="2:6">
      <c r="B65" s="658">
        <v>7</v>
      </c>
      <c r="C65" s="656" t="s">
        <v>530</v>
      </c>
      <c r="D65" s="618">
        <f>Wskaźniki!C8</f>
        <v>9.4729999999999995E-2</v>
      </c>
      <c r="E65" s="615" t="s">
        <v>531</v>
      </c>
      <c r="F65" s="617" t="s">
        <v>532</v>
      </c>
    </row>
    <row r="66" spans="2:6">
      <c r="B66" s="658">
        <v>8</v>
      </c>
      <c r="C66" s="656" t="s">
        <v>533</v>
      </c>
      <c r="D66" s="616">
        <f>((D64*D63*D60)*D65)</f>
        <v>281.01652805457138</v>
      </c>
      <c r="E66" s="615" t="s">
        <v>534</v>
      </c>
      <c r="F66" s="617"/>
    </row>
    <row r="67" spans="2:6">
      <c r="B67" s="658">
        <v>9</v>
      </c>
      <c r="C67" s="656" t="s">
        <v>588</v>
      </c>
      <c r="D67" s="616">
        <v>8000</v>
      </c>
      <c r="E67" s="615" t="s">
        <v>589</v>
      </c>
      <c r="F67" s="617" t="s">
        <v>524</v>
      </c>
    </row>
    <row r="68" spans="2:6">
      <c r="B68" s="658">
        <v>10</v>
      </c>
      <c r="C68" s="656" t="s">
        <v>537</v>
      </c>
      <c r="D68" s="616">
        <f>D67*D64</f>
        <v>480000</v>
      </c>
      <c r="E68" s="615" t="s">
        <v>538</v>
      </c>
      <c r="F68" s="617"/>
    </row>
    <row r="69" spans="2:6" ht="15.75" thickBot="1">
      <c r="B69" s="659">
        <v>11</v>
      </c>
      <c r="C69" s="619" t="s">
        <v>539</v>
      </c>
      <c r="D69" s="620">
        <f>D68/D66</f>
        <v>1708.0845860667223</v>
      </c>
      <c r="E69" s="619" t="s">
        <v>540</v>
      </c>
      <c r="F69" s="621"/>
    </row>
  </sheetData>
  <mergeCells count="5">
    <mergeCell ref="B2:F2"/>
    <mergeCell ref="B16:F16"/>
    <mergeCell ref="B29:F29"/>
    <mergeCell ref="B42:F42"/>
    <mergeCell ref="B57:F5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M24"/>
  <sheetViews>
    <sheetView showGridLines="0" view="pageBreakPreview" topLeftCell="A5" zoomScale="130" zoomScaleNormal="100" zoomScaleSheetLayoutView="130" workbookViewId="0">
      <selection activeCell="C5" sqref="C5"/>
    </sheetView>
  </sheetViews>
  <sheetFormatPr defaultRowHeight="14.25"/>
  <cols>
    <col min="1" max="1" width="4.25" customWidth="1"/>
    <col min="2" max="2" width="27.125" customWidth="1"/>
    <col min="3" max="6" width="17.625" customWidth="1"/>
    <col min="7" max="7" width="10.25" bestFit="1" customWidth="1"/>
  </cols>
  <sheetData>
    <row r="1" spans="2:13" ht="15.75" thickBot="1"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2:13" ht="15.75" thickBot="1">
      <c r="B2" s="1057" t="s">
        <v>307</v>
      </c>
      <c r="C2" s="1058"/>
      <c r="D2" s="1058"/>
      <c r="E2" s="1058"/>
      <c r="F2" s="1059"/>
      <c r="G2" s="174"/>
      <c r="H2" s="174"/>
      <c r="I2" s="174"/>
      <c r="J2" s="174"/>
      <c r="K2" s="174"/>
      <c r="L2" s="174"/>
      <c r="M2" s="174"/>
    </row>
    <row r="3" spans="2:13" ht="15.75" thickBot="1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2:13" ht="39" thickBot="1">
      <c r="B4" s="174"/>
      <c r="C4" s="182" t="s">
        <v>225</v>
      </c>
      <c r="D4" s="290" t="s">
        <v>612</v>
      </c>
      <c r="E4" s="291" t="s">
        <v>613</v>
      </c>
      <c r="F4" s="183" t="s">
        <v>308</v>
      </c>
      <c r="G4" s="174"/>
      <c r="H4" s="174"/>
      <c r="I4" s="174"/>
      <c r="J4" s="175"/>
      <c r="K4" s="175"/>
      <c r="L4" s="174"/>
      <c r="M4" s="176"/>
    </row>
    <row r="5" spans="2:13" ht="15">
      <c r="B5" s="292" t="s">
        <v>317</v>
      </c>
      <c r="C5" s="180">
        <f>'Emisja CO2_2024'!R25</f>
        <v>56596.891329265243</v>
      </c>
      <c r="D5" s="178">
        <f>'Emisja CO2_2024'!R51</f>
        <v>57467.353484883308</v>
      </c>
      <c r="E5" s="178">
        <f>D5-Działania_2024!J31</f>
        <v>55163.250127099032</v>
      </c>
      <c r="F5" s="179">
        <f>(C5-E5)/C5</f>
        <v>2.5330741114837532E-2</v>
      </c>
      <c r="G5" s="760"/>
      <c r="H5" s="174"/>
      <c r="I5" s="174"/>
      <c r="J5" s="175"/>
      <c r="K5" s="175"/>
      <c r="L5" s="174"/>
      <c r="M5" s="174"/>
    </row>
    <row r="6" spans="2:13" ht="15">
      <c r="B6" s="293" t="s">
        <v>316</v>
      </c>
      <c r="C6" s="295">
        <f>'Końcowe zuż. energii_2024'!R22</f>
        <v>167186.56274319848</v>
      </c>
      <c r="D6" s="289">
        <f>'Końcowe zuż. energii_2024'!R42</f>
        <v>170552.18421740638</v>
      </c>
      <c r="E6" s="289">
        <f>D6-Działania_2024!I31</f>
        <v>167124.7860465839</v>
      </c>
      <c r="F6" s="296">
        <f>(C6-E6)/C6</f>
        <v>3.6950754654524448E-4</v>
      </c>
      <c r="G6" s="760"/>
      <c r="H6" s="174"/>
      <c r="I6" s="174"/>
      <c r="J6" s="175"/>
      <c r="K6" s="175"/>
      <c r="L6" s="174"/>
      <c r="M6" s="176"/>
    </row>
    <row r="7" spans="2:13" ht="25.5">
      <c r="B7" s="293" t="s">
        <v>315</v>
      </c>
      <c r="C7" s="295">
        <f>'Końcowe zuż. energii_2024'!O22</f>
        <v>5398.5884287839172</v>
      </c>
      <c r="D7" s="289">
        <f>'Końcowe zuż. energii_2024'!O42</f>
        <v>6080.0469312365685</v>
      </c>
      <c r="E7" s="289">
        <f>D7+Działania_2024!K31</f>
        <v>7355.8232005835489</v>
      </c>
      <c r="F7" s="296">
        <f>E7/D6</f>
        <v>4.3129457616367606E-2</v>
      </c>
      <c r="G7" s="760"/>
      <c r="H7" s="174"/>
      <c r="I7" s="174"/>
      <c r="J7" s="175"/>
      <c r="K7" s="175"/>
      <c r="L7" s="174"/>
      <c r="M7" s="176"/>
    </row>
    <row r="8" spans="2:13" ht="39" thickBot="1">
      <c r="B8" s="294" t="s">
        <v>309</v>
      </c>
      <c r="C8" s="297">
        <f>C7/C6</f>
        <v>3.2290803400726917E-2</v>
      </c>
      <c r="D8" s="298">
        <f t="shared" ref="D8:E8" si="0">D7/D6</f>
        <v>3.5649188306414226E-2</v>
      </c>
      <c r="E8" s="298">
        <f t="shared" si="0"/>
        <v>4.4013957322483616E-2</v>
      </c>
      <c r="F8" s="299">
        <f>E8-C8</f>
        <v>1.1723153921756699E-2</v>
      </c>
      <c r="G8" s="174"/>
      <c r="H8" s="174"/>
      <c r="I8" s="174"/>
      <c r="J8" s="175"/>
      <c r="K8" s="175"/>
      <c r="L8" s="174"/>
      <c r="M8" s="176"/>
    </row>
    <row r="9" spans="2:13" ht="15.75" thickBot="1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</row>
    <row r="10" spans="2:13" ht="15.75" thickBot="1">
      <c r="B10" s="1057" t="s">
        <v>310</v>
      </c>
      <c r="C10" s="1058"/>
      <c r="D10" s="1058"/>
      <c r="E10" s="1058"/>
      <c r="F10" s="1059"/>
      <c r="G10" s="174"/>
      <c r="H10" s="174"/>
      <c r="I10" s="174"/>
      <c r="J10" s="174"/>
      <c r="K10" s="174"/>
      <c r="L10" s="174"/>
      <c r="M10" s="174"/>
    </row>
    <row r="11" spans="2:13" ht="15" thickBot="1">
      <c r="F11" s="668"/>
    </row>
    <row r="12" spans="2:13" s="181" customFormat="1" ht="15">
      <c r="B12" s="300" t="s">
        <v>314</v>
      </c>
      <c r="C12" s="301">
        <f>Działania_2024!J31</f>
        <v>2304.1033577842718</v>
      </c>
      <c r="D12" s="635">
        <f>C12*100/C5</f>
        <v>4.0710775868936482</v>
      </c>
      <c r="E12" s="635"/>
      <c r="F12" s="635"/>
      <c r="G12" s="177"/>
      <c r="H12" s="177"/>
      <c r="I12" s="177"/>
      <c r="J12" s="177"/>
      <c r="K12" s="177"/>
      <c r="L12" s="177"/>
      <c r="M12" s="177"/>
    </row>
    <row r="13" spans="2:13" s="181" customFormat="1" ht="25.5">
      <c r="B13" s="302" t="s">
        <v>313</v>
      </c>
      <c r="C13" s="303">
        <f>Działania_2024!I31</f>
        <v>3427.3981708224815</v>
      </c>
      <c r="D13" s="635">
        <f>C13*100/C6</f>
        <v>2.0500440433643141</v>
      </c>
      <c r="E13" s="635"/>
      <c r="F13" s="635"/>
      <c r="G13" s="177"/>
      <c r="H13" s="177"/>
      <c r="I13" s="177"/>
      <c r="J13" s="177"/>
      <c r="K13" s="177"/>
      <c r="L13" s="177"/>
      <c r="M13" s="177"/>
    </row>
    <row r="14" spans="2:13" s="181" customFormat="1" ht="26.25" thickBot="1">
      <c r="B14" s="304" t="s">
        <v>311</v>
      </c>
      <c r="C14" s="305">
        <f>Działania_2024!K31</f>
        <v>1275.7762693469806</v>
      </c>
      <c r="D14" s="635">
        <f>C14*100/C7</f>
        <v>23.631663835399305</v>
      </c>
      <c r="E14" s="177"/>
    </row>
    <row r="16" spans="2:13" ht="15" thickBot="1"/>
    <row r="17" spans="2:6" ht="15" thickBot="1">
      <c r="B17" s="797"/>
      <c r="C17" s="798" t="s">
        <v>615</v>
      </c>
      <c r="D17" s="799"/>
      <c r="E17" s="799"/>
      <c r="F17" s="800"/>
    </row>
    <row r="18" spans="2:6">
      <c r="B18" s="801"/>
      <c r="C18" s="802">
        <v>100</v>
      </c>
      <c r="D18" s="803"/>
      <c r="E18" s="803"/>
      <c r="F18" s="804"/>
    </row>
    <row r="19" spans="2:6">
      <c r="B19" s="805"/>
      <c r="C19" s="802" t="s">
        <v>43</v>
      </c>
      <c r="D19" s="803">
        <v>96.8</v>
      </c>
      <c r="E19" s="803">
        <v>3.0000000000000001E-5</v>
      </c>
      <c r="F19" s="804">
        <v>8.9999999999999993E-3</v>
      </c>
    </row>
    <row r="20" spans="2:6">
      <c r="B20" s="805"/>
      <c r="C20" s="803"/>
      <c r="D20" s="806" t="s">
        <v>616</v>
      </c>
      <c r="E20" s="807" t="s">
        <v>617</v>
      </c>
      <c r="F20" s="808" t="s">
        <v>618</v>
      </c>
    </row>
    <row r="21" spans="2:6">
      <c r="B21" s="809" t="s">
        <v>619</v>
      </c>
      <c r="C21" s="795">
        <f>D21*100/D19</f>
        <v>2380.2720638267274</v>
      </c>
      <c r="D21" s="795">
        <f>C12</f>
        <v>2304.1033577842718</v>
      </c>
      <c r="E21" s="796">
        <f>E19*C21/C18</f>
        <v>7.1408161914801832E-4</v>
      </c>
      <c r="F21" s="810">
        <f>F19*C21/C18</f>
        <v>0.21422448574440545</v>
      </c>
    </row>
    <row r="22" spans="2:6">
      <c r="B22" s="809" t="s">
        <v>620</v>
      </c>
      <c r="C22" s="795">
        <f>D22*100/D19</f>
        <v>1622.2312391759372</v>
      </c>
      <c r="D22" s="795">
        <f>Działania_2024!J9+Działania_2024!J10+Działania_2024!J11+Działania_2024!J12+Działania_2024!J13+Działania_2024!J14+Działania_2024!J15+Działania_2024!J16+Działania_2024!J17+Działania_2024!J18+Działania_2024!J19+Działania_2024!J20+Działania_2024!J21+Działania_2024!J22</f>
        <v>1570.3198395223071</v>
      </c>
      <c r="E22" s="796">
        <f>E19*C22/C18</f>
        <v>4.8666937175278119E-4</v>
      </c>
      <c r="F22" s="810">
        <f>F19*C22/C18</f>
        <v>0.14600081152583433</v>
      </c>
    </row>
    <row r="23" spans="2:6">
      <c r="B23" s="809" t="s">
        <v>621</v>
      </c>
      <c r="C23" s="795">
        <f>D23*100/D19</f>
        <v>707.94475027062458</v>
      </c>
      <c r="D23" s="795">
        <f>Działania_2024!J23+Działania_2024!J24+Działania_2024!J25+Działania_2024!J26+Działania_2024!J27+Działania_2024!J28</f>
        <v>685.29051826196462</v>
      </c>
      <c r="E23" s="796">
        <f>E19*C23/C18</f>
        <v>2.1238342508118739E-4</v>
      </c>
      <c r="F23" s="810">
        <f>F19*C23/C18</f>
        <v>6.3715027524356205E-2</v>
      </c>
    </row>
    <row r="24" spans="2:6" ht="15" thickBot="1">
      <c r="B24" s="762"/>
      <c r="C24" s="763"/>
      <c r="D24" s="764"/>
      <c r="E24" s="765"/>
      <c r="F24" s="766"/>
    </row>
  </sheetData>
  <mergeCells count="2">
    <mergeCell ref="B2:F2"/>
    <mergeCell ref="B10:F10"/>
  </mergeCells>
  <pageMargins left="0.7" right="0.7" top="0.75" bottom="0.75" header="0.3" footer="0.3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J124"/>
  <sheetViews>
    <sheetView showGridLines="0" view="pageBreakPreview" topLeftCell="A31" zoomScale="74" zoomScaleNormal="90" zoomScaleSheetLayoutView="74" workbookViewId="0">
      <selection activeCell="C5" sqref="C5"/>
    </sheetView>
  </sheetViews>
  <sheetFormatPr defaultRowHeight="15"/>
  <cols>
    <col min="1" max="1" width="2.5" style="6" customWidth="1"/>
    <col min="2" max="2" width="17.5" style="6" customWidth="1"/>
    <col min="3" max="4" width="7.5" style="6" customWidth="1"/>
    <col min="5" max="22" width="6" style="6" customWidth="1"/>
    <col min="23" max="29" width="7" style="6" customWidth="1"/>
    <col min="30" max="35" width="8.625" style="6" bestFit="1" customWidth="1"/>
    <col min="36" max="36" width="7" style="6" customWidth="1"/>
    <col min="37" max="16384" width="9" style="6"/>
  </cols>
  <sheetData>
    <row r="1" spans="2:36" s="9" customFormat="1" ht="15" customHeight="1" thickBot="1"/>
    <row r="2" spans="2:36" s="9" customFormat="1" ht="19.5" thickBot="1">
      <c r="B2" s="10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2"/>
    </row>
    <row r="3" spans="2:36" s="9" customFormat="1" ht="19.5" thickBot="1"/>
    <row r="4" spans="2:36" s="9" customFormat="1" ht="19.5" thickBot="1">
      <c r="B4" s="47" t="s">
        <v>36</v>
      </c>
      <c r="C4" s="48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36" s="9" customFormat="1" ht="19.5" thickBot="1">
      <c r="B5" s="51" t="s">
        <v>9</v>
      </c>
      <c r="C5" s="52">
        <v>2005</v>
      </c>
      <c r="D5" s="52">
        <v>2006</v>
      </c>
      <c r="E5" s="52">
        <v>2007</v>
      </c>
      <c r="F5" s="52">
        <v>2008</v>
      </c>
      <c r="G5" s="52">
        <v>2009</v>
      </c>
      <c r="H5" s="52">
        <v>2010</v>
      </c>
      <c r="I5" s="52">
        <v>2011</v>
      </c>
      <c r="J5" s="52">
        <v>2012</v>
      </c>
      <c r="K5" s="52">
        <v>2013</v>
      </c>
      <c r="L5" s="52">
        <v>2014</v>
      </c>
      <c r="M5" s="52">
        <v>2015</v>
      </c>
      <c r="N5" s="52">
        <v>2016</v>
      </c>
      <c r="O5" s="52">
        <v>2017</v>
      </c>
      <c r="P5" s="52">
        <v>2018</v>
      </c>
      <c r="Q5" s="52">
        <v>2019</v>
      </c>
      <c r="R5" s="52">
        <v>2020</v>
      </c>
      <c r="S5" s="52">
        <v>2021</v>
      </c>
      <c r="T5" s="52">
        <v>2022</v>
      </c>
      <c r="U5" s="52">
        <v>2023</v>
      </c>
      <c r="V5" s="52">
        <v>2024</v>
      </c>
    </row>
    <row r="6" spans="2:36" ht="15.75" thickBot="1"/>
    <row r="7" spans="2:36" ht="15.75" thickBot="1">
      <c r="B7" s="47" t="s">
        <v>23</v>
      </c>
      <c r="C7" s="48"/>
      <c r="AB7" s="829" t="s">
        <v>28</v>
      </c>
      <c r="AC7" s="830"/>
      <c r="AD7" s="830"/>
      <c r="AE7" s="830"/>
      <c r="AF7" s="831"/>
    </row>
    <row r="8" spans="2:36">
      <c r="B8" s="671" t="s">
        <v>9</v>
      </c>
      <c r="C8" s="40">
        <v>2005</v>
      </c>
      <c r="D8" s="40">
        <v>2006</v>
      </c>
      <c r="E8" s="40">
        <v>2007</v>
      </c>
      <c r="F8" s="40">
        <v>2008</v>
      </c>
      <c r="G8" s="40">
        <v>2009</v>
      </c>
      <c r="H8" s="40">
        <v>2010</v>
      </c>
      <c r="I8" s="40">
        <v>2011</v>
      </c>
      <c r="J8" s="40">
        <v>2012</v>
      </c>
      <c r="K8" s="50">
        <v>2013</v>
      </c>
      <c r="L8" s="40">
        <v>2014</v>
      </c>
      <c r="M8" s="40">
        <v>2015</v>
      </c>
      <c r="N8" s="40">
        <v>2016</v>
      </c>
      <c r="O8" s="40">
        <v>2017</v>
      </c>
      <c r="P8" s="40">
        <v>2018</v>
      </c>
      <c r="Q8" s="41">
        <v>2019</v>
      </c>
      <c r="R8" s="832" t="s">
        <v>27</v>
      </c>
      <c r="S8" s="833"/>
      <c r="T8" s="833"/>
      <c r="U8" s="834"/>
      <c r="AB8" s="841" t="s">
        <v>9</v>
      </c>
      <c r="AC8" s="842"/>
      <c r="AD8" s="40">
        <v>2019</v>
      </c>
      <c r="AE8" s="40">
        <v>2020</v>
      </c>
      <c r="AF8" s="40">
        <v>2021</v>
      </c>
      <c r="AG8" s="40">
        <v>2022</v>
      </c>
      <c r="AH8" s="40">
        <v>2023</v>
      </c>
      <c r="AI8" s="40">
        <v>2024</v>
      </c>
    </row>
    <row r="9" spans="2:36" ht="30.75" customHeight="1" thickBot="1">
      <c r="B9" s="390" t="s">
        <v>38</v>
      </c>
      <c r="C9" s="391">
        <v>10869</v>
      </c>
      <c r="D9" s="392">
        <v>10907</v>
      </c>
      <c r="E9" s="392">
        <v>10863</v>
      </c>
      <c r="F9" s="392">
        <v>10874</v>
      </c>
      <c r="G9" s="392">
        <v>10846</v>
      </c>
      <c r="H9" s="392">
        <v>10944</v>
      </c>
      <c r="I9" s="392">
        <v>10880</v>
      </c>
      <c r="J9" s="392">
        <v>10791</v>
      </c>
      <c r="K9" s="392">
        <v>10791</v>
      </c>
      <c r="L9" s="685">
        <v>10719</v>
      </c>
      <c r="M9" s="694">
        <v>10683</v>
      </c>
      <c r="N9" s="695">
        <v>10526</v>
      </c>
      <c r="O9" s="695">
        <v>10586</v>
      </c>
      <c r="P9" s="695">
        <v>10596</v>
      </c>
      <c r="Q9" s="695">
        <v>10618</v>
      </c>
      <c r="R9" s="826">
        <f>(Q9/L9)^(1/5)-1</f>
        <v>-1.8916472853360844E-3</v>
      </c>
      <c r="S9" s="827"/>
      <c r="T9" s="827"/>
      <c r="U9" s="828"/>
      <c r="AB9" s="839" t="s">
        <v>38</v>
      </c>
      <c r="AC9" s="840"/>
      <c r="AD9" s="53">
        <f>Q9</f>
        <v>10618</v>
      </c>
      <c r="AE9" s="53">
        <f>INT(AD9*(1+R9))</f>
        <v>10597</v>
      </c>
      <c r="AF9" s="53">
        <f>INT(AE9*(1+R9))</f>
        <v>10576</v>
      </c>
      <c r="AG9" s="53">
        <f>INT(AF9*(1+R9))</f>
        <v>10555</v>
      </c>
      <c r="AH9" s="53">
        <f>INT(AG9*(1+R9))</f>
        <v>10535</v>
      </c>
      <c r="AI9" s="53">
        <f>INT(AH9*(1+R9))</f>
        <v>10515</v>
      </c>
    </row>
    <row r="25" spans="2:35" ht="15.75" thickBot="1"/>
    <row r="26" spans="2:35" ht="15.75" thickBot="1">
      <c r="B26" s="47" t="s">
        <v>34</v>
      </c>
      <c r="C26" s="48"/>
      <c r="AB26" s="829" t="s">
        <v>35</v>
      </c>
      <c r="AC26" s="830"/>
      <c r="AD26" s="830"/>
      <c r="AE26" s="830"/>
      <c r="AF26" s="831"/>
    </row>
    <row r="27" spans="2:35">
      <c r="B27" s="671" t="s">
        <v>9</v>
      </c>
      <c r="C27" s="40">
        <v>2005</v>
      </c>
      <c r="D27" s="40">
        <v>2006</v>
      </c>
      <c r="E27" s="40">
        <v>2007</v>
      </c>
      <c r="F27" s="40">
        <v>2008</v>
      </c>
      <c r="G27" s="40">
        <v>2009</v>
      </c>
      <c r="H27" s="40">
        <v>2010</v>
      </c>
      <c r="I27" s="40">
        <v>2011</v>
      </c>
      <c r="J27" s="50">
        <v>2012</v>
      </c>
      <c r="K27" s="40">
        <v>2013</v>
      </c>
      <c r="L27" s="40">
        <v>2014</v>
      </c>
      <c r="M27" s="40">
        <v>2015</v>
      </c>
      <c r="N27" s="40">
        <v>2016</v>
      </c>
      <c r="O27" s="40">
        <v>2017</v>
      </c>
      <c r="P27" s="40">
        <v>2018</v>
      </c>
      <c r="Q27" s="41">
        <v>2019</v>
      </c>
      <c r="R27" s="832" t="s">
        <v>27</v>
      </c>
      <c r="S27" s="833"/>
      <c r="T27" s="833"/>
      <c r="U27" s="834"/>
      <c r="AB27" s="835" t="s">
        <v>9</v>
      </c>
      <c r="AC27" s="836"/>
      <c r="AD27" s="40">
        <v>2019</v>
      </c>
      <c r="AE27" s="40">
        <v>2020</v>
      </c>
      <c r="AF27" s="40">
        <v>2021</v>
      </c>
      <c r="AG27" s="40">
        <v>2022</v>
      </c>
      <c r="AH27" s="40">
        <v>2023</v>
      </c>
      <c r="AI27" s="40">
        <v>2024</v>
      </c>
    </row>
    <row r="28" spans="2:35" ht="15.75" thickBot="1">
      <c r="B28" s="672" t="s">
        <v>37</v>
      </c>
      <c r="C28" s="688">
        <v>4696</v>
      </c>
      <c r="D28" s="689">
        <v>4765</v>
      </c>
      <c r="E28" s="689">
        <v>4773</v>
      </c>
      <c r="F28" s="689">
        <v>4883</v>
      </c>
      <c r="G28" s="689">
        <v>4932</v>
      </c>
      <c r="H28" s="689">
        <v>4967</v>
      </c>
      <c r="I28" s="689">
        <v>5016</v>
      </c>
      <c r="J28" s="685">
        <v>5034</v>
      </c>
      <c r="K28" s="686">
        <v>5112</v>
      </c>
      <c r="L28" s="686">
        <v>5115</v>
      </c>
      <c r="M28" s="688">
        <v>5162</v>
      </c>
      <c r="N28" s="689">
        <v>5227</v>
      </c>
      <c r="O28" s="689">
        <v>5330</v>
      </c>
      <c r="P28" s="689">
        <v>5372</v>
      </c>
      <c r="Q28" s="696" t="s">
        <v>592</v>
      </c>
      <c r="R28" s="826">
        <f>(P28/L28)^(1/4)-1</f>
        <v>1.2331128897747679E-2</v>
      </c>
      <c r="S28" s="827"/>
      <c r="T28" s="827"/>
      <c r="U28" s="828"/>
      <c r="AB28" s="837" t="s">
        <v>37</v>
      </c>
      <c r="AC28" s="838"/>
      <c r="AD28" s="53">
        <f>INT(P28*(1+R28))</f>
        <v>5438</v>
      </c>
      <c r="AE28" s="53">
        <f>INT(AD28*(1+R28))</f>
        <v>5505</v>
      </c>
      <c r="AF28" s="53">
        <f>INT(AE28*(1+R28))</f>
        <v>5572</v>
      </c>
      <c r="AG28" s="53">
        <f>INT(AF28*(1+R28))</f>
        <v>5640</v>
      </c>
      <c r="AH28" s="53">
        <f>INT(AG28*(1+R28))</f>
        <v>5709</v>
      </c>
      <c r="AI28" s="53">
        <f>INT(AH28*(1+R28))</f>
        <v>5779</v>
      </c>
    </row>
    <row r="45" spans="2:21" ht="15.75" thickBot="1"/>
    <row r="46" spans="2:21" ht="15.75" thickBot="1">
      <c r="B46" s="47" t="s">
        <v>24</v>
      </c>
      <c r="C46" s="48"/>
      <c r="R46" s="119"/>
      <c r="S46" s="119"/>
      <c r="T46" s="119"/>
      <c r="U46" s="119"/>
    </row>
    <row r="47" spans="2:21">
      <c r="B47" s="671" t="s">
        <v>9</v>
      </c>
      <c r="C47" s="40">
        <v>2005</v>
      </c>
      <c r="D47" s="40">
        <v>2006</v>
      </c>
      <c r="E47" s="40">
        <v>2007</v>
      </c>
      <c r="F47" s="40">
        <v>2008</v>
      </c>
      <c r="G47" s="40">
        <v>2009</v>
      </c>
      <c r="H47" s="40">
        <v>2010</v>
      </c>
      <c r="I47" s="40">
        <v>2011</v>
      </c>
      <c r="J47" s="40">
        <v>2012</v>
      </c>
      <c r="K47" s="50">
        <v>2013</v>
      </c>
      <c r="L47" s="40">
        <v>2014</v>
      </c>
      <c r="M47" s="40">
        <v>2015</v>
      </c>
      <c r="N47" s="40">
        <v>2016</v>
      </c>
      <c r="O47" s="40">
        <v>2017</v>
      </c>
      <c r="P47" s="40">
        <v>2018</v>
      </c>
      <c r="Q47" s="41">
        <v>2019</v>
      </c>
      <c r="R47" s="823"/>
      <c r="S47" s="823"/>
      <c r="T47" s="823"/>
      <c r="U47" s="823"/>
    </row>
    <row r="48" spans="2:21" ht="15.75" customHeight="1" thickBot="1">
      <c r="B48" s="672" t="s">
        <v>29</v>
      </c>
      <c r="C48" s="120">
        <v>24</v>
      </c>
      <c r="D48" s="120">
        <v>84</v>
      </c>
      <c r="E48" s="120">
        <v>20</v>
      </c>
      <c r="F48" s="120">
        <v>60</v>
      </c>
      <c r="G48" s="120">
        <v>112</v>
      </c>
      <c r="H48" s="120">
        <v>85</v>
      </c>
      <c r="I48" s="120">
        <v>51</v>
      </c>
      <c r="J48" s="120">
        <v>21</v>
      </c>
      <c r="K48" s="120">
        <v>92</v>
      </c>
      <c r="L48" s="690">
        <v>10</v>
      </c>
      <c r="M48" s="690">
        <v>49</v>
      </c>
      <c r="N48" s="690">
        <v>73</v>
      </c>
      <c r="O48" s="690">
        <v>106</v>
      </c>
      <c r="P48" s="690">
        <v>46</v>
      </c>
      <c r="Q48" s="691">
        <v>24</v>
      </c>
      <c r="R48" s="822"/>
      <c r="S48" s="822"/>
      <c r="T48" s="822"/>
      <c r="U48" s="822"/>
    </row>
    <row r="49" spans="18:23">
      <c r="R49" s="119"/>
      <c r="S49" s="119"/>
      <c r="T49" s="119"/>
      <c r="U49" s="119"/>
      <c r="W49" s="98"/>
    </row>
    <row r="50" spans="18:23">
      <c r="R50" s="119"/>
      <c r="S50" s="119"/>
      <c r="T50" s="119"/>
      <c r="U50" s="119"/>
    </row>
    <row r="64" spans="18:23" ht="15.75" thickBot="1"/>
    <row r="65" spans="2:35" ht="18" thickBot="1">
      <c r="B65" s="44" t="s">
        <v>25</v>
      </c>
      <c r="C65" s="45"/>
      <c r="D65" s="46"/>
      <c r="AB65" s="829" t="s">
        <v>30</v>
      </c>
      <c r="AC65" s="830"/>
      <c r="AD65" s="830"/>
      <c r="AE65" s="830"/>
      <c r="AF65" s="831"/>
    </row>
    <row r="66" spans="2:35">
      <c r="B66" s="43" t="s">
        <v>9</v>
      </c>
      <c r="C66" s="40">
        <v>2005</v>
      </c>
      <c r="D66" s="40">
        <v>2006</v>
      </c>
      <c r="E66" s="40">
        <v>2007</v>
      </c>
      <c r="F66" s="40">
        <v>2008</v>
      </c>
      <c r="G66" s="40">
        <v>2009</v>
      </c>
      <c r="H66" s="40">
        <v>2010</v>
      </c>
      <c r="I66" s="40">
        <v>2011</v>
      </c>
      <c r="J66" s="40">
        <v>2012</v>
      </c>
      <c r="K66" s="50">
        <v>2013</v>
      </c>
      <c r="L66" s="40">
        <v>2014</v>
      </c>
      <c r="M66" s="40">
        <v>2015</v>
      </c>
      <c r="N66" s="40">
        <v>2016</v>
      </c>
      <c r="O66" s="40">
        <v>2017</v>
      </c>
      <c r="P66" s="40">
        <v>2018</v>
      </c>
      <c r="Q66" s="41">
        <v>2019</v>
      </c>
      <c r="R66" s="832" t="s">
        <v>27</v>
      </c>
      <c r="S66" s="833"/>
      <c r="T66" s="833"/>
      <c r="U66" s="834"/>
      <c r="AB66" s="835" t="s">
        <v>9</v>
      </c>
      <c r="AC66" s="836"/>
      <c r="AD66" s="40">
        <v>2019</v>
      </c>
      <c r="AE66" s="40">
        <v>2020</v>
      </c>
      <c r="AF66" s="40">
        <v>2021</v>
      </c>
      <c r="AG66" s="40">
        <v>2022</v>
      </c>
      <c r="AH66" s="40">
        <v>2023</v>
      </c>
      <c r="AI66" s="40">
        <v>2024</v>
      </c>
    </row>
    <row r="67" spans="2:35" ht="30.75" thickBot="1">
      <c r="B67" s="672" t="s">
        <v>40</v>
      </c>
      <c r="C67" s="688">
        <v>333934</v>
      </c>
      <c r="D67" s="689">
        <v>338056</v>
      </c>
      <c r="E67" s="689">
        <v>339240</v>
      </c>
      <c r="F67" s="689">
        <v>344820</v>
      </c>
      <c r="G67" s="689">
        <v>352841</v>
      </c>
      <c r="H67" s="689">
        <v>360198</v>
      </c>
      <c r="I67" s="689">
        <v>363498</v>
      </c>
      <c r="J67" s="689">
        <v>365890</v>
      </c>
      <c r="K67" s="689">
        <v>371679</v>
      </c>
      <c r="L67" s="685">
        <v>372656</v>
      </c>
      <c r="M67" s="686">
        <v>375271</v>
      </c>
      <c r="N67" s="686">
        <v>379958</v>
      </c>
      <c r="O67" s="686">
        <v>386716</v>
      </c>
      <c r="P67" s="686">
        <v>390805</v>
      </c>
      <c r="Q67" s="687" t="s">
        <v>592</v>
      </c>
      <c r="R67" s="826">
        <f>(P67/L67)^(1/4)-1</f>
        <v>1.1959189088503797E-2</v>
      </c>
      <c r="S67" s="827"/>
      <c r="T67" s="827"/>
      <c r="U67" s="828"/>
      <c r="AB67" s="837" t="s">
        <v>39</v>
      </c>
      <c r="AC67" s="838"/>
      <c r="AD67" s="53">
        <f>INT(P67*(1+R67))</f>
        <v>395478</v>
      </c>
      <c r="AE67" s="53">
        <f>INT(AD67*(1+R67))</f>
        <v>400207</v>
      </c>
      <c r="AF67" s="53">
        <f>INT(AE67*(1+R67))</f>
        <v>404993</v>
      </c>
      <c r="AG67" s="53">
        <f>INT(AF67*(1+R67))</f>
        <v>409836</v>
      </c>
      <c r="AH67" s="53">
        <f>INT(AG67*(1+R67))</f>
        <v>414737</v>
      </c>
      <c r="AI67" s="53">
        <f>INT(AH67*(1+R67))</f>
        <v>419696</v>
      </c>
    </row>
    <row r="83" spans="2:35" ht="15.75" thickBot="1"/>
    <row r="84" spans="2:35" ht="18" thickBot="1">
      <c r="B84" s="44" t="s">
        <v>72</v>
      </c>
      <c r="C84" s="45"/>
      <c r="D84" s="46"/>
      <c r="AB84" s="843" t="s">
        <v>88</v>
      </c>
      <c r="AC84" s="844"/>
      <c r="AD84" s="844"/>
      <c r="AE84" s="844"/>
      <c r="AF84" s="844"/>
      <c r="AG84" s="845"/>
      <c r="AH84" s="95"/>
      <c r="AI84" s="95"/>
    </row>
    <row r="85" spans="2:35">
      <c r="B85" s="43" t="s">
        <v>9</v>
      </c>
      <c r="C85" s="40">
        <v>2005</v>
      </c>
      <c r="D85" s="40">
        <v>2006</v>
      </c>
      <c r="E85" s="40">
        <v>2007</v>
      </c>
      <c r="F85" s="40">
        <v>2008</v>
      </c>
      <c r="G85" s="40">
        <v>2009</v>
      </c>
      <c r="H85" s="40">
        <v>2010</v>
      </c>
      <c r="I85" s="40">
        <v>2011</v>
      </c>
      <c r="J85" s="40">
        <v>2012</v>
      </c>
      <c r="K85" s="40">
        <v>2013</v>
      </c>
      <c r="L85" s="40">
        <v>2014</v>
      </c>
      <c r="M85" s="40">
        <v>2015</v>
      </c>
      <c r="N85" s="40">
        <v>2016</v>
      </c>
      <c r="O85" s="40">
        <v>2017</v>
      </c>
      <c r="P85" s="40">
        <v>2018</v>
      </c>
      <c r="Q85" s="41">
        <v>2019</v>
      </c>
      <c r="R85" s="832" t="s">
        <v>27</v>
      </c>
      <c r="S85" s="833"/>
      <c r="T85" s="833"/>
      <c r="U85" s="834"/>
      <c r="AB85" s="835" t="s">
        <v>9</v>
      </c>
      <c r="AC85" s="836"/>
      <c r="AD85" s="40">
        <v>2019</v>
      </c>
      <c r="AE85" s="40">
        <v>2020</v>
      </c>
      <c r="AF85" s="40">
        <v>2021</v>
      </c>
      <c r="AG85" s="40">
        <v>2022</v>
      </c>
      <c r="AH85" s="40">
        <v>2023</v>
      </c>
      <c r="AI85" s="40">
        <v>2024</v>
      </c>
    </row>
    <row r="86" spans="2:35" ht="30.75" customHeight="1" thickBot="1">
      <c r="B86" s="672" t="s">
        <v>31</v>
      </c>
      <c r="C86" s="54">
        <f t="shared" ref="C86:L86" si="0">C67/C28</f>
        <v>71.110306643952299</v>
      </c>
      <c r="D86" s="54">
        <f t="shared" si="0"/>
        <v>70.945645330535157</v>
      </c>
      <c r="E86" s="54">
        <f t="shared" si="0"/>
        <v>71.074795725958523</v>
      </c>
      <c r="F86" s="54">
        <f t="shared" si="0"/>
        <v>70.616424329305758</v>
      </c>
      <c r="G86" s="54">
        <f t="shared" si="0"/>
        <v>71.541159772911598</v>
      </c>
      <c r="H86" s="54">
        <f t="shared" si="0"/>
        <v>72.518220253674244</v>
      </c>
      <c r="I86" s="54">
        <f t="shared" si="0"/>
        <v>72.467703349282303</v>
      </c>
      <c r="J86" s="54">
        <f t="shared" si="0"/>
        <v>72.683750496622963</v>
      </c>
      <c r="K86" s="54">
        <f t="shared" si="0"/>
        <v>72.707159624413151</v>
      </c>
      <c r="L86" s="54">
        <f t="shared" si="0"/>
        <v>72.855522971652007</v>
      </c>
      <c r="M86" s="684">
        <v>72.698760170476561</v>
      </c>
      <c r="N86" s="684">
        <v>72.691409986607994</v>
      </c>
      <c r="O86" s="684">
        <v>72.554596622889306</v>
      </c>
      <c r="P86" s="684">
        <v>72.74851079672375</v>
      </c>
      <c r="Q86" s="684" t="s">
        <v>592</v>
      </c>
      <c r="R86" s="826">
        <f>(P86/L86)^(1/4)-1</f>
        <v>-3.674092385649308E-4</v>
      </c>
      <c r="S86" s="827"/>
      <c r="T86" s="827"/>
      <c r="U86" s="828"/>
      <c r="AB86" s="837" t="s">
        <v>31</v>
      </c>
      <c r="AC86" s="838"/>
      <c r="AD86" s="96">
        <f>(P86*(1+$R$86))</f>
        <v>72.72178232176519</v>
      </c>
      <c r="AE86" s="96">
        <f>(AD86*(1+$R$86))</f>
        <v>72.695063667095269</v>
      </c>
      <c r="AF86" s="96">
        <f t="shared" ref="AF86:AI86" si="1">(AE86*(1+$R$86))</f>
        <v>72.668354829105908</v>
      </c>
      <c r="AG86" s="96">
        <f t="shared" si="1"/>
        <v>72.641655804190378</v>
      </c>
      <c r="AH86" s="96">
        <f t="shared" si="1"/>
        <v>72.614966588743272</v>
      </c>
      <c r="AI86" s="96">
        <f t="shared" si="1"/>
        <v>72.588287179160488</v>
      </c>
    </row>
    <row r="102" spans="2:30" ht="15.75" thickBot="1"/>
    <row r="103" spans="2:30" ht="15.75" thickBot="1">
      <c r="B103" s="49" t="s">
        <v>26</v>
      </c>
      <c r="C103" s="46"/>
      <c r="D103" s="46"/>
      <c r="W103" s="843" t="s">
        <v>32</v>
      </c>
      <c r="X103" s="844"/>
      <c r="Y103" s="844"/>
      <c r="Z103" s="844"/>
      <c r="AA103" s="844"/>
      <c r="AB103" s="844"/>
      <c r="AC103" s="845"/>
    </row>
    <row r="104" spans="2:30">
      <c r="B104" s="43" t="s">
        <v>9</v>
      </c>
      <c r="C104" s="40">
        <v>2005</v>
      </c>
      <c r="D104" s="40">
        <v>2006</v>
      </c>
      <c r="E104" s="40">
        <v>2007</v>
      </c>
      <c r="F104" s="40">
        <v>2008</v>
      </c>
      <c r="G104" s="40">
        <v>2009</v>
      </c>
      <c r="H104" s="40">
        <v>2010</v>
      </c>
      <c r="I104" s="40">
        <v>2011</v>
      </c>
      <c r="J104" s="40">
        <v>2012</v>
      </c>
      <c r="K104" s="40">
        <v>2013</v>
      </c>
      <c r="L104" s="40">
        <v>2014</v>
      </c>
      <c r="M104" s="40">
        <v>2015</v>
      </c>
      <c r="N104" s="40">
        <v>2016</v>
      </c>
      <c r="O104" s="40">
        <v>2017</v>
      </c>
      <c r="P104" s="40">
        <v>2018</v>
      </c>
      <c r="Q104" s="41">
        <v>2019</v>
      </c>
      <c r="R104" s="832" t="s">
        <v>27</v>
      </c>
      <c r="S104" s="833"/>
      <c r="T104" s="833"/>
      <c r="U104" s="834"/>
      <c r="W104" s="835" t="s">
        <v>9</v>
      </c>
      <c r="X104" s="836"/>
      <c r="Y104" s="40">
        <v>2019</v>
      </c>
      <c r="Z104" s="40">
        <v>2020</v>
      </c>
      <c r="AA104" s="40">
        <v>2021</v>
      </c>
      <c r="AB104" s="40">
        <v>2022</v>
      </c>
      <c r="AC104" s="40">
        <v>2023</v>
      </c>
      <c r="AD104" s="40">
        <v>2024</v>
      </c>
    </row>
    <row r="105" spans="2:30" ht="30.75" customHeight="1" thickBot="1">
      <c r="B105" s="672" t="s">
        <v>33</v>
      </c>
      <c r="C105" s="692">
        <v>1504</v>
      </c>
      <c r="D105" s="692">
        <v>1485</v>
      </c>
      <c r="E105" s="692">
        <v>1471</v>
      </c>
      <c r="F105" s="692">
        <v>1507</v>
      </c>
      <c r="G105" s="692">
        <v>1459</v>
      </c>
      <c r="H105" s="692">
        <v>1521</v>
      </c>
      <c r="I105" s="692">
        <v>1526</v>
      </c>
      <c r="J105" s="692">
        <v>1545</v>
      </c>
      <c r="K105" s="692">
        <v>1502</v>
      </c>
      <c r="L105" s="692">
        <v>1472</v>
      </c>
      <c r="M105" s="692">
        <v>1459</v>
      </c>
      <c r="N105" s="692">
        <v>1484</v>
      </c>
      <c r="O105" s="692">
        <v>1589</v>
      </c>
      <c r="P105" s="692">
        <v>1679</v>
      </c>
      <c r="Q105" s="693">
        <v>1889</v>
      </c>
      <c r="R105" s="826">
        <f>(Q105/L105)^(1/5)-1</f>
        <v>5.1150326606588248E-2</v>
      </c>
      <c r="S105" s="827"/>
      <c r="T105" s="827"/>
      <c r="U105" s="828"/>
      <c r="W105" s="837" t="s">
        <v>33</v>
      </c>
      <c r="X105" s="838"/>
      <c r="Y105" s="53">
        <f>Q105</f>
        <v>1889</v>
      </c>
      <c r="Z105" s="53">
        <f>INT(Y105*(1+R105))</f>
        <v>1985</v>
      </c>
      <c r="AA105" s="53">
        <f>INT(Z105*(1+R105))</f>
        <v>2086</v>
      </c>
      <c r="AB105" s="53">
        <f>INT(AA105*(1+R105))</f>
        <v>2192</v>
      </c>
      <c r="AC105" s="53">
        <f>INT(AB105*(1+R105))</f>
        <v>2304</v>
      </c>
      <c r="AD105" s="53">
        <f>INT(AC105*(1+R105))</f>
        <v>2421</v>
      </c>
    </row>
    <row r="109" spans="2:30">
      <c r="U109" s="99"/>
    </row>
    <row r="124" spans="18:18">
      <c r="R124" s="138"/>
    </row>
  </sheetData>
  <mergeCells count="27">
    <mergeCell ref="R105:U105"/>
    <mergeCell ref="W105:X105"/>
    <mergeCell ref="R85:U85"/>
    <mergeCell ref="AB85:AC85"/>
    <mergeCell ref="R86:U86"/>
    <mergeCell ref="AB86:AC86"/>
    <mergeCell ref="R104:U104"/>
    <mergeCell ref="W104:X104"/>
    <mergeCell ref="W103:AC103"/>
    <mergeCell ref="AB84:AG84"/>
    <mergeCell ref="R27:U27"/>
    <mergeCell ref="AB27:AC27"/>
    <mergeCell ref="R28:U28"/>
    <mergeCell ref="AB28:AC28"/>
    <mergeCell ref="R47:U47"/>
    <mergeCell ref="R48:U48"/>
    <mergeCell ref="AB65:AF65"/>
    <mergeCell ref="R66:U66"/>
    <mergeCell ref="AB66:AC66"/>
    <mergeCell ref="R67:U67"/>
    <mergeCell ref="AB67:AC67"/>
    <mergeCell ref="AB26:AF26"/>
    <mergeCell ref="AB7:AF7"/>
    <mergeCell ref="R8:U8"/>
    <mergeCell ref="AB8:AC8"/>
    <mergeCell ref="R9:U9"/>
    <mergeCell ref="AB9:AC9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64" max="30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15"/>
  <sheetViews>
    <sheetView workbookViewId="0">
      <selection activeCell="C5" sqref="C5"/>
    </sheetView>
  </sheetViews>
  <sheetFormatPr defaultRowHeight="14.25"/>
  <cols>
    <col min="1" max="1" width="17.875" customWidth="1"/>
    <col min="3" max="3" width="9" style="285"/>
    <col min="4" max="4" width="10.5" style="285" customWidth="1"/>
    <col min="5" max="5" width="18.875" customWidth="1"/>
    <col min="6" max="6" width="11.75" customWidth="1"/>
  </cols>
  <sheetData>
    <row r="1" spans="1:8" s="285" customFormat="1" ht="15" thickBot="1"/>
    <row r="2" spans="1:8" s="285" customFormat="1" ht="15" thickBot="1">
      <c r="A2" s="1060" t="s">
        <v>637</v>
      </c>
      <c r="B2" s="1060"/>
      <c r="C2" s="1060"/>
      <c r="D2" s="1060"/>
      <c r="E2" s="1060"/>
      <c r="F2" s="1060"/>
    </row>
    <row r="3" spans="1:8" s="285" customFormat="1" ht="15" thickBot="1">
      <c r="A3" s="789"/>
      <c r="B3" s="790"/>
      <c r="C3" s="790"/>
      <c r="D3" s="790"/>
      <c r="E3" s="790"/>
      <c r="F3" s="791"/>
    </row>
    <row r="4" spans="1:8" s="285" customFormat="1" ht="39" thickBot="1">
      <c r="A4" s="792" t="s">
        <v>628</v>
      </c>
      <c r="B4" s="792" t="s">
        <v>67</v>
      </c>
      <c r="C4" s="792">
        <v>2014</v>
      </c>
      <c r="D4" s="792" t="s">
        <v>624</v>
      </c>
      <c r="E4" s="792" t="s">
        <v>625</v>
      </c>
      <c r="F4" s="792" t="s">
        <v>629</v>
      </c>
    </row>
    <row r="5" spans="1:8" s="285" customFormat="1" ht="39" thickBot="1">
      <c r="A5" s="785" t="s">
        <v>623</v>
      </c>
      <c r="B5" s="786" t="s">
        <v>630</v>
      </c>
      <c r="C5" s="787">
        <f>'Emisja CO2_2024'!R14</f>
        <v>43692.550619694528</v>
      </c>
      <c r="D5" s="787">
        <f>'Emisja CO2_2024'!R40-(Działania_2024!J9+Działania_2024!J10+Działania_2024!J13+Działania_2024!J14+Działania_2024!J15+Działania_2024!J16+Działania_2024!J17+Działania_2024!J23+Działania_2024!J24+Działania_2024!J25+Działania_2024!J26+Działania_2024!J27+Działania_2024!J28)</f>
        <v>42668.81197527847</v>
      </c>
      <c r="E5" s="787">
        <f>C5-D5</f>
        <v>1023.7386444160584</v>
      </c>
      <c r="F5" s="786" t="s">
        <v>631</v>
      </c>
    </row>
    <row r="6" spans="1:8" ht="15" thickBot="1">
      <c r="A6" s="785" t="s">
        <v>638</v>
      </c>
      <c r="B6" s="786" t="s">
        <v>235</v>
      </c>
      <c r="C6" s="793">
        <f>'Końcowe zuż. energii_2024'!O22</f>
        <v>5398.5884287839172</v>
      </c>
      <c r="D6" s="793">
        <f>'Końcowe zuż. energii_2024'!O42+Działania_2024!K31</f>
        <v>7355.8232005835489</v>
      </c>
      <c r="E6" s="794">
        <f>D6-C6</f>
        <v>1957.2347717996317</v>
      </c>
      <c r="F6" s="786" t="s">
        <v>636</v>
      </c>
      <c r="H6" s="141"/>
    </row>
    <row r="8" spans="1:8" ht="15" thickBot="1"/>
    <row r="9" spans="1:8" ht="15.75" thickBot="1">
      <c r="A9" s="1061" t="s">
        <v>627</v>
      </c>
      <c r="B9" s="1061"/>
      <c r="C9" s="1061"/>
      <c r="D9" s="1061"/>
      <c r="E9" s="1061"/>
      <c r="F9" s="1061"/>
    </row>
    <row r="10" spans="1:8" s="285" customFormat="1" ht="15.75" thickBot="1">
      <c r="A10" s="782"/>
      <c r="B10" s="761"/>
      <c r="C10" s="761"/>
      <c r="D10" s="761"/>
      <c r="E10" s="761"/>
      <c r="F10" s="783"/>
    </row>
    <row r="11" spans="1:8" ht="36.75" thickBot="1">
      <c r="A11" s="784" t="s">
        <v>628</v>
      </c>
      <c r="B11" s="784" t="s">
        <v>67</v>
      </c>
      <c r="C11" s="784">
        <v>2014</v>
      </c>
      <c r="D11" s="784" t="s">
        <v>624</v>
      </c>
      <c r="E11" s="784" t="s">
        <v>625</v>
      </c>
      <c r="F11" s="784" t="s">
        <v>629</v>
      </c>
    </row>
    <row r="12" spans="1:8" ht="39" thickBot="1">
      <c r="A12" s="785" t="s">
        <v>626</v>
      </c>
      <c r="B12" s="786" t="s">
        <v>630</v>
      </c>
      <c r="C12" s="787">
        <f>'Emisja CO2_2024'!R21</f>
        <v>12904.340709570717</v>
      </c>
      <c r="D12" s="787">
        <f>'Emisja CO2_2024'!R47-(Działania_2024!J18+Działania_2024!J19+Działania_2024!J20+Działania_2024!J21+Działania_2024!J22)</f>
        <v>12542.931151820565</v>
      </c>
      <c r="E12" s="787">
        <f>C12-D12</f>
        <v>361.40955775015209</v>
      </c>
      <c r="F12" s="788" t="s">
        <v>631</v>
      </c>
    </row>
    <row r="13" spans="1:8" ht="15" thickBot="1">
      <c r="A13" s="785" t="s">
        <v>632</v>
      </c>
      <c r="B13" s="1062" t="s">
        <v>235</v>
      </c>
      <c r="C13" s="1063">
        <f>'Końcowe zuż. energii_2024'!R21</f>
        <v>50070.301839620792</v>
      </c>
      <c r="D13" s="1064">
        <f>'Końcowe zuż. energii_2024'!R41-(Działania_2024!I18+Działania_2024!I20+Działania_2024!I21+Działania_2024!I22)</f>
        <v>48628.531695659316</v>
      </c>
      <c r="E13" s="1063">
        <f>C13-D13</f>
        <v>1441.7701439614757</v>
      </c>
      <c r="F13" s="1065" t="s">
        <v>631</v>
      </c>
    </row>
    <row r="14" spans="1:8" ht="15" thickBot="1">
      <c r="A14" s="785" t="s">
        <v>633</v>
      </c>
      <c r="B14" s="1062"/>
      <c r="C14" s="1063"/>
      <c r="D14" s="1062"/>
      <c r="E14" s="1062"/>
      <c r="F14" s="1065"/>
    </row>
    <row r="15" spans="1:8" ht="26.25" thickBot="1">
      <c r="A15" s="785" t="s">
        <v>634</v>
      </c>
      <c r="B15" s="786" t="s">
        <v>635</v>
      </c>
      <c r="C15" s="786">
        <v>0</v>
      </c>
      <c r="D15" s="786">
        <v>8.86</v>
      </c>
      <c r="E15" s="786">
        <v>8.86</v>
      </c>
      <c r="F15" s="786" t="s">
        <v>636</v>
      </c>
    </row>
  </sheetData>
  <mergeCells count="7">
    <mergeCell ref="A2:F2"/>
    <mergeCell ref="A9:F9"/>
    <mergeCell ref="B13:B14"/>
    <mergeCell ref="C13:C14"/>
    <mergeCell ref="D13:D14"/>
    <mergeCell ref="E13:E14"/>
    <mergeCell ref="F13:F14"/>
  </mergeCells>
  <pageMargins left="0.7" right="0.7" top="0.75" bottom="0.75" header="0.3" footer="0.3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N13"/>
  <sheetViews>
    <sheetView showGridLines="0" workbookViewId="0">
      <selection activeCell="C4" sqref="C4:C5"/>
    </sheetView>
  </sheetViews>
  <sheetFormatPr defaultRowHeight="14.25"/>
  <cols>
    <col min="4" max="4" width="18.25" customWidth="1"/>
  </cols>
  <sheetData>
    <row r="1" spans="2:14" ht="15.75" thickBot="1"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2:14" ht="26.25">
      <c r="B2" s="1066" t="s">
        <v>394</v>
      </c>
      <c r="C2" s="1066" t="s">
        <v>395</v>
      </c>
      <c r="D2" s="1066" t="s">
        <v>396</v>
      </c>
      <c r="E2" s="1066" t="s">
        <v>397</v>
      </c>
      <c r="F2" s="1066" t="s">
        <v>398</v>
      </c>
      <c r="G2" s="1066" t="s">
        <v>399</v>
      </c>
      <c r="H2" s="1066" t="s">
        <v>400</v>
      </c>
      <c r="I2" s="1066" t="s">
        <v>401</v>
      </c>
      <c r="J2" s="1066" t="s">
        <v>402</v>
      </c>
      <c r="K2" s="1066" t="s">
        <v>403</v>
      </c>
      <c r="L2" s="319" t="s">
        <v>404</v>
      </c>
      <c r="M2" s="318" t="s">
        <v>405</v>
      </c>
      <c r="N2" s="1066" t="s">
        <v>406</v>
      </c>
    </row>
    <row r="3" spans="2:14" ht="26.25" thickBot="1">
      <c r="B3" s="1067"/>
      <c r="C3" s="1067"/>
      <c r="D3" s="1067"/>
      <c r="E3" s="1067"/>
      <c r="F3" s="1067"/>
      <c r="G3" s="1067"/>
      <c r="H3" s="1067"/>
      <c r="I3" s="1067"/>
      <c r="J3" s="1067"/>
      <c r="K3" s="1067"/>
      <c r="L3" s="320" t="s">
        <v>407</v>
      </c>
      <c r="M3" s="321" t="s">
        <v>408</v>
      </c>
      <c r="N3" s="1067"/>
    </row>
    <row r="4" spans="2:14">
      <c r="B4" s="1072" t="s">
        <v>409</v>
      </c>
      <c r="C4" s="1072" t="s">
        <v>410</v>
      </c>
      <c r="D4" s="1074" t="s">
        <v>411</v>
      </c>
      <c r="E4" s="1072" t="s">
        <v>412</v>
      </c>
      <c r="F4" s="1072" t="s">
        <v>413</v>
      </c>
      <c r="G4" s="1072" t="s">
        <v>414</v>
      </c>
      <c r="H4" s="1072" t="s">
        <v>415</v>
      </c>
      <c r="I4" s="1072" t="s">
        <v>416</v>
      </c>
      <c r="J4" s="1072" t="s">
        <v>417</v>
      </c>
      <c r="K4" s="1072" t="s">
        <v>418</v>
      </c>
      <c r="L4" s="1072" t="s">
        <v>419</v>
      </c>
      <c r="M4" s="1072" t="s">
        <v>420</v>
      </c>
      <c r="N4" s="322" t="s">
        <v>421</v>
      </c>
    </row>
    <row r="5" spans="2:14" ht="15" thickBot="1">
      <c r="B5" s="1073"/>
      <c r="C5" s="1073"/>
      <c r="D5" s="1075"/>
      <c r="E5" s="1073"/>
      <c r="F5" s="1073"/>
      <c r="G5" s="1073"/>
      <c r="H5" s="1073"/>
      <c r="I5" s="1073"/>
      <c r="J5" s="1073"/>
      <c r="K5" s="1073"/>
      <c r="L5" s="1073"/>
      <c r="M5" s="1073"/>
      <c r="N5" s="323" t="s">
        <v>422</v>
      </c>
    </row>
    <row r="6" spans="2:14" ht="15.75" thickBot="1">
      <c r="B6" s="324">
        <v>0.08</v>
      </c>
      <c r="C6" s="325">
        <v>26.2</v>
      </c>
      <c r="D6" s="326">
        <v>30</v>
      </c>
      <c r="E6" s="325">
        <v>252</v>
      </c>
      <c r="F6" s="327">
        <f>B6*C6*D6*E6</f>
        <v>15845.76</v>
      </c>
      <c r="G6" s="325">
        <v>0.755</v>
      </c>
      <c r="H6" s="325">
        <f>F6*G6</f>
        <v>11963.5488</v>
      </c>
      <c r="I6" s="325">
        <v>44.3</v>
      </c>
      <c r="J6" s="325">
        <f>I6/1000</f>
        <v>4.4299999999999999E-2</v>
      </c>
      <c r="K6" s="325">
        <f>H6*J6</f>
        <v>529.98521184000003</v>
      </c>
      <c r="L6" s="325">
        <v>69.3</v>
      </c>
      <c r="M6" s="325">
        <v>6.93E-2</v>
      </c>
      <c r="N6" s="329">
        <f>K6*M6</f>
        <v>36.727975180512004</v>
      </c>
    </row>
    <row r="8" spans="2:14" ht="15.75" thickBot="1"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2:14" ht="15">
      <c r="B9" s="1068" t="s">
        <v>423</v>
      </c>
      <c r="C9" s="330" t="s">
        <v>424</v>
      </c>
      <c r="D9" s="1070" t="s">
        <v>425</v>
      </c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2:14" ht="27.75" thickBot="1">
      <c r="B10" s="1069"/>
      <c r="C10" s="328" t="s">
        <v>426</v>
      </c>
      <c r="D10" s="1071"/>
      <c r="E10" s="317"/>
      <c r="F10" s="317"/>
      <c r="G10" s="317"/>
      <c r="H10" s="317"/>
      <c r="I10" s="317"/>
      <c r="J10" s="317"/>
      <c r="K10" s="317"/>
      <c r="L10" s="317"/>
      <c r="M10" s="317"/>
      <c r="N10" s="317"/>
    </row>
    <row r="11" spans="2:14" ht="15.75" thickBot="1">
      <c r="B11" s="331" t="s">
        <v>409</v>
      </c>
      <c r="C11" s="332" t="s">
        <v>410</v>
      </c>
      <c r="D11" s="334" t="s">
        <v>411</v>
      </c>
      <c r="E11" s="317"/>
      <c r="F11" s="317"/>
      <c r="G11" s="317"/>
      <c r="H11" s="317"/>
      <c r="I11" s="317"/>
      <c r="J11" s="317"/>
      <c r="K11" s="317"/>
      <c r="L11" s="317"/>
      <c r="M11" s="317"/>
      <c r="N11" s="317"/>
    </row>
    <row r="12" spans="2:14" ht="64.5" thickBot="1">
      <c r="B12" s="333" t="s">
        <v>427</v>
      </c>
      <c r="C12" s="328">
        <f>N6</f>
        <v>36.727975180512004</v>
      </c>
      <c r="D12" s="335">
        <f>K6*0.277</f>
        <v>146.80590367968003</v>
      </c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2:14" ht="15.75" thickBot="1">
      <c r="B13" s="333" t="s">
        <v>428</v>
      </c>
      <c r="C13" s="336">
        <f>SUM(C12)</f>
        <v>36.727975180512004</v>
      </c>
      <c r="D13" s="328">
        <f>SUM(D12)</f>
        <v>146.80590367968003</v>
      </c>
      <c r="E13" s="317"/>
      <c r="F13" s="317"/>
      <c r="G13" s="317"/>
      <c r="H13" s="317"/>
      <c r="I13" s="317"/>
      <c r="J13" s="317"/>
      <c r="K13" s="317"/>
      <c r="L13" s="317"/>
      <c r="M13" s="317"/>
      <c r="N13" s="317"/>
    </row>
  </sheetData>
  <mergeCells count="25">
    <mergeCell ref="N2:N3"/>
    <mergeCell ref="B4:B5"/>
    <mergeCell ref="C4:C5"/>
    <mergeCell ref="D4:D5"/>
    <mergeCell ref="E4:E5"/>
    <mergeCell ref="F4:F5"/>
    <mergeCell ref="G4:G5"/>
    <mergeCell ref="H4:H5"/>
    <mergeCell ref="B2:B3"/>
    <mergeCell ref="E2:E3"/>
    <mergeCell ref="F2:F3"/>
    <mergeCell ref="G2:G3"/>
    <mergeCell ref="H2:H3"/>
    <mergeCell ref="I2:I3"/>
    <mergeCell ref="L4:L5"/>
    <mergeCell ref="M4:M5"/>
    <mergeCell ref="C2:C3"/>
    <mergeCell ref="D2:D3"/>
    <mergeCell ref="J2:J3"/>
    <mergeCell ref="K2:K3"/>
    <mergeCell ref="B9:B10"/>
    <mergeCell ref="D9:D10"/>
    <mergeCell ref="I4:I5"/>
    <mergeCell ref="J4:J5"/>
    <mergeCell ref="K4:K5"/>
  </mergeCells>
  <pageMargins left="0.7" right="0.7" top="0.75" bottom="0.75" header="0.3" footer="0.3"/>
  <pageSetup paperSize="9" scale="8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2:P31"/>
  <sheetViews>
    <sheetView showGridLines="0" tabSelected="1" topLeftCell="A19" workbookViewId="0">
      <selection activeCell="C5" sqref="C5"/>
    </sheetView>
  </sheetViews>
  <sheetFormatPr defaultRowHeight="15"/>
  <cols>
    <col min="1" max="1" width="4.25" style="142" customWidth="1"/>
    <col min="2" max="6" width="13.125" style="142" customWidth="1"/>
    <col min="7" max="7" width="12.625" style="142" customWidth="1"/>
    <col min="8" max="12" width="9" style="142"/>
    <col min="13" max="13" width="12.25" style="142" customWidth="1"/>
    <col min="14" max="14" width="9" style="142"/>
    <col min="15" max="15" width="10.75" style="142" customWidth="1"/>
    <col min="16" max="16" width="11.75" style="142" customWidth="1"/>
    <col min="17" max="16384" width="9" style="142"/>
  </cols>
  <sheetData>
    <row r="2" spans="2:16" ht="15.75" thickBot="1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2:16" ht="102.75" thickBot="1">
      <c r="B3" s="1090" t="s">
        <v>429</v>
      </c>
      <c r="C3" s="337" t="s">
        <v>430</v>
      </c>
      <c r="D3" s="338" t="s">
        <v>431</v>
      </c>
      <c r="E3" s="338" t="s">
        <v>432</v>
      </c>
      <c r="F3" s="338" t="s">
        <v>433</v>
      </c>
      <c r="G3" s="378"/>
      <c r="H3" s="1089"/>
      <c r="I3" s="1089"/>
      <c r="J3" s="1089"/>
      <c r="K3" s="1089"/>
      <c r="L3" s="1089"/>
      <c r="M3" s="1089"/>
      <c r="N3" s="1089"/>
      <c r="O3" s="1089"/>
      <c r="P3" s="1089"/>
    </row>
    <row r="4" spans="2:16" ht="15.75" thickBot="1">
      <c r="B4" s="1091"/>
      <c r="C4" s="339" t="s">
        <v>409</v>
      </c>
      <c r="D4" s="340" t="s">
        <v>410</v>
      </c>
      <c r="E4" s="341" t="s">
        <v>434</v>
      </c>
      <c r="F4" s="340" t="s">
        <v>435</v>
      </c>
      <c r="G4" s="378"/>
      <c r="H4" s="378"/>
      <c r="I4" s="378"/>
      <c r="J4" s="378"/>
      <c r="K4" s="378"/>
      <c r="L4" s="378"/>
      <c r="M4" s="378"/>
      <c r="N4" s="378"/>
      <c r="O4" s="378"/>
      <c r="P4" s="378"/>
    </row>
    <row r="5" spans="2:16" ht="15.75" thickBot="1">
      <c r="B5" s="1092"/>
      <c r="C5" s="342">
        <v>100</v>
      </c>
      <c r="D5" s="343">
        <v>0.3</v>
      </c>
      <c r="E5" s="344">
        <v>30</v>
      </c>
      <c r="F5" s="345">
        <v>20</v>
      </c>
      <c r="G5" s="378"/>
      <c r="H5" s="378"/>
      <c r="I5" s="378"/>
      <c r="J5" s="378"/>
      <c r="K5" s="378"/>
      <c r="L5" s="378"/>
      <c r="M5" s="378"/>
      <c r="N5" s="378"/>
      <c r="O5" s="378"/>
      <c r="P5" s="378"/>
    </row>
    <row r="7" spans="2:16" ht="15.75" thickBot="1"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</row>
    <row r="8" spans="2:16" ht="36" customHeight="1">
      <c r="B8" s="1090" t="s">
        <v>429</v>
      </c>
      <c r="C8" s="1085" t="s">
        <v>394</v>
      </c>
      <c r="D8" s="346" t="s">
        <v>436</v>
      </c>
      <c r="E8" s="1085" t="s">
        <v>437</v>
      </c>
      <c r="F8" s="1085" t="s">
        <v>438</v>
      </c>
      <c r="G8" s="1085" t="s">
        <v>398</v>
      </c>
      <c r="H8" s="1085" t="s">
        <v>439</v>
      </c>
      <c r="I8" s="1085" t="s">
        <v>400</v>
      </c>
      <c r="J8" s="1085" t="s">
        <v>401</v>
      </c>
      <c r="K8" s="1085" t="s">
        <v>402</v>
      </c>
      <c r="L8" s="1085" t="s">
        <v>403</v>
      </c>
      <c r="M8" s="1085" t="s">
        <v>440</v>
      </c>
      <c r="N8" s="347" t="s">
        <v>452</v>
      </c>
      <c r="O8" s="348" t="s">
        <v>405</v>
      </c>
      <c r="P8" s="346" t="s">
        <v>424</v>
      </c>
    </row>
    <row r="9" spans="2:16" ht="15.75" thickBot="1">
      <c r="B9" s="1091"/>
      <c r="C9" s="1086"/>
      <c r="D9" s="349" t="s">
        <v>441</v>
      </c>
      <c r="E9" s="1086"/>
      <c r="F9" s="1086"/>
      <c r="G9" s="1086"/>
      <c r="H9" s="1086"/>
      <c r="I9" s="1086"/>
      <c r="J9" s="1086"/>
      <c r="K9" s="1086"/>
      <c r="L9" s="1086"/>
      <c r="M9" s="1086"/>
      <c r="N9" s="350" t="s">
        <v>407</v>
      </c>
      <c r="O9" s="351" t="s">
        <v>453</v>
      </c>
      <c r="P9" s="349" t="s">
        <v>454</v>
      </c>
    </row>
    <row r="10" spans="2:16" ht="15" customHeight="1" thickBot="1">
      <c r="B10" s="1091"/>
      <c r="C10" s="352" t="s">
        <v>409</v>
      </c>
      <c r="D10" s="340" t="s">
        <v>410</v>
      </c>
      <c r="E10" s="341" t="s">
        <v>411</v>
      </c>
      <c r="F10" s="340" t="s">
        <v>412</v>
      </c>
      <c r="G10" s="340" t="s">
        <v>413</v>
      </c>
      <c r="H10" s="340" t="s">
        <v>414</v>
      </c>
      <c r="I10" s="340" t="s">
        <v>415</v>
      </c>
      <c r="J10" s="340" t="s">
        <v>416</v>
      </c>
      <c r="K10" s="340" t="s">
        <v>417</v>
      </c>
      <c r="L10" s="340" t="s">
        <v>418</v>
      </c>
      <c r="M10" s="340" t="s">
        <v>442</v>
      </c>
      <c r="N10" s="340" t="s">
        <v>419</v>
      </c>
      <c r="O10" s="340" t="s">
        <v>420</v>
      </c>
      <c r="P10" s="340" t="s">
        <v>443</v>
      </c>
    </row>
    <row r="11" spans="2:16" ht="15.75" thickBot="1">
      <c r="B11" s="1092"/>
      <c r="C11" s="382">
        <v>0.08</v>
      </c>
      <c r="D11" s="383">
        <v>8.86</v>
      </c>
      <c r="E11" s="384">
        <f>F5</f>
        <v>20</v>
      </c>
      <c r="F11" s="383">
        <v>252</v>
      </c>
      <c r="G11" s="385">
        <f>C11*D11*E11*F11</f>
        <v>3572.3519999999999</v>
      </c>
      <c r="H11" s="383">
        <v>0.755</v>
      </c>
      <c r="I11" s="386">
        <f>G11*H11</f>
        <v>2697.1257599999999</v>
      </c>
      <c r="J11" s="383">
        <v>44.3</v>
      </c>
      <c r="K11" s="383">
        <v>4.4299999999999999E-2</v>
      </c>
      <c r="L11" s="386">
        <f>I11*K11</f>
        <v>119.482671168</v>
      </c>
      <c r="M11" s="386">
        <f>L11*0.277</f>
        <v>33.096699913536</v>
      </c>
      <c r="N11" s="383">
        <v>69.3</v>
      </c>
      <c r="O11" s="383">
        <v>6.93E-2</v>
      </c>
      <c r="P11" s="387">
        <f>L11*O11</f>
        <v>8.2801491119424</v>
      </c>
    </row>
    <row r="12" spans="2:16" ht="15.75" thickBot="1"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  <c r="P12" s="378"/>
    </row>
    <row r="13" spans="2:16" ht="84.75" thickBot="1">
      <c r="B13" s="1090" t="s">
        <v>444</v>
      </c>
      <c r="C13" s="354" t="s">
        <v>445</v>
      </c>
      <c r="D13" s="355" t="s">
        <v>431</v>
      </c>
      <c r="E13" s="355" t="s">
        <v>432</v>
      </c>
      <c r="F13" s="355" t="s">
        <v>433</v>
      </c>
      <c r="G13" s="378"/>
      <c r="H13" s="378"/>
      <c r="I13" s="378"/>
      <c r="J13" s="378"/>
      <c r="K13" s="378"/>
      <c r="L13" s="378"/>
      <c r="M13" s="378"/>
      <c r="N13" s="378"/>
      <c r="O13" s="378"/>
      <c r="P13" s="378"/>
    </row>
    <row r="14" spans="2:16" ht="15.75" thickBot="1">
      <c r="B14" s="1091"/>
      <c r="C14" s="339" t="s">
        <v>409</v>
      </c>
      <c r="D14" s="340" t="s">
        <v>410</v>
      </c>
      <c r="E14" s="341" t="s">
        <v>446</v>
      </c>
      <c r="F14" s="340" t="s">
        <v>435</v>
      </c>
      <c r="G14" s="378"/>
      <c r="H14" s="378"/>
      <c r="I14" s="378"/>
      <c r="J14" s="378"/>
      <c r="K14" s="378"/>
      <c r="L14" s="378"/>
      <c r="M14" s="378"/>
      <c r="N14" s="378"/>
      <c r="O14" s="378"/>
      <c r="P14" s="378"/>
    </row>
    <row r="15" spans="2:16" ht="15.75" thickBot="1">
      <c r="B15" s="1092"/>
      <c r="C15" s="356">
        <v>100</v>
      </c>
      <c r="D15" s="357">
        <v>0.3</v>
      </c>
      <c r="E15" s="358">
        <v>30</v>
      </c>
      <c r="F15" s="353">
        <v>20</v>
      </c>
      <c r="G15" s="378"/>
      <c r="H15" s="378"/>
      <c r="I15" s="378"/>
      <c r="J15" s="378"/>
      <c r="K15" s="378"/>
      <c r="L15" s="378"/>
      <c r="M15" s="378"/>
      <c r="N15" s="378"/>
      <c r="O15" s="378"/>
      <c r="P15" s="378"/>
    </row>
    <row r="16" spans="2:16" ht="15.75" thickBot="1"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</row>
    <row r="17" spans="2:16" ht="36">
      <c r="B17" s="1095" t="s">
        <v>444</v>
      </c>
      <c r="C17" s="1085" t="s">
        <v>394</v>
      </c>
      <c r="D17" s="346" t="s">
        <v>436</v>
      </c>
      <c r="E17" s="1085" t="s">
        <v>437</v>
      </c>
      <c r="F17" s="1085" t="s">
        <v>438</v>
      </c>
      <c r="G17" s="1085" t="s">
        <v>398</v>
      </c>
      <c r="H17" s="1085" t="s">
        <v>439</v>
      </c>
      <c r="I17" s="1085" t="s">
        <v>400</v>
      </c>
      <c r="J17" s="1085" t="s">
        <v>401</v>
      </c>
      <c r="K17" s="1085" t="s">
        <v>402</v>
      </c>
      <c r="L17" s="1085" t="s">
        <v>403</v>
      </c>
      <c r="M17" s="347" t="s">
        <v>440</v>
      </c>
      <c r="N17" s="347" t="s">
        <v>391</v>
      </c>
      <c r="O17" s="348" t="s">
        <v>405</v>
      </c>
      <c r="P17" s="1085" t="s">
        <v>424</v>
      </c>
    </row>
    <row r="18" spans="2:16" ht="15.75" thickBot="1">
      <c r="B18" s="1096"/>
      <c r="C18" s="1086"/>
      <c r="D18" s="349" t="s">
        <v>441</v>
      </c>
      <c r="E18" s="1086"/>
      <c r="F18" s="1086"/>
      <c r="G18" s="1086"/>
      <c r="H18" s="1086"/>
      <c r="I18" s="1086"/>
      <c r="J18" s="1086"/>
      <c r="K18" s="1086"/>
      <c r="L18" s="1086"/>
      <c r="M18" s="350"/>
      <c r="N18" s="350" t="s">
        <v>407</v>
      </c>
      <c r="O18" s="351" t="s">
        <v>447</v>
      </c>
      <c r="P18" s="1086" t="s">
        <v>448</v>
      </c>
    </row>
    <row r="19" spans="2:16" ht="24.75" thickBot="1">
      <c r="B19" s="1096"/>
      <c r="C19" s="351" t="s">
        <v>409</v>
      </c>
      <c r="D19" s="349" t="s">
        <v>410</v>
      </c>
      <c r="E19" s="349" t="s">
        <v>411</v>
      </c>
      <c r="F19" s="349" t="s">
        <v>412</v>
      </c>
      <c r="G19" s="349" t="s">
        <v>413</v>
      </c>
      <c r="H19" s="349" t="s">
        <v>414</v>
      </c>
      <c r="I19" s="349" t="s">
        <v>415</v>
      </c>
      <c r="J19" s="349" t="s">
        <v>416</v>
      </c>
      <c r="K19" s="349" t="s">
        <v>417</v>
      </c>
      <c r="L19" s="349" t="s">
        <v>418</v>
      </c>
      <c r="M19" s="359" t="s">
        <v>442</v>
      </c>
      <c r="N19" s="354" t="s">
        <v>419</v>
      </c>
      <c r="O19" s="354" t="s">
        <v>420</v>
      </c>
      <c r="P19" s="349" t="s">
        <v>443</v>
      </c>
    </row>
    <row r="20" spans="2:16" ht="15.75" thickBot="1">
      <c r="B20" s="1097"/>
      <c r="C20" s="360">
        <v>0.08</v>
      </c>
      <c r="D20" s="361">
        <v>8.86</v>
      </c>
      <c r="E20" s="361">
        <f>F15</f>
        <v>20</v>
      </c>
      <c r="F20" s="361">
        <v>114</v>
      </c>
      <c r="G20" s="361">
        <f>C20*D20*E20*F20</f>
        <v>1616.0640000000001</v>
      </c>
      <c r="H20" s="362">
        <v>0.755</v>
      </c>
      <c r="I20" s="361">
        <f>G20*H20</f>
        <v>1220.12832</v>
      </c>
      <c r="J20" s="363">
        <v>44.3</v>
      </c>
      <c r="K20" s="364">
        <v>4.4299999999999999E-2</v>
      </c>
      <c r="L20" s="361">
        <f>I20*K20</f>
        <v>54.051684576</v>
      </c>
      <c r="M20" s="365">
        <f>L20*0.277</f>
        <v>14.972316627552001</v>
      </c>
      <c r="N20" s="366">
        <v>69.3</v>
      </c>
      <c r="O20" s="388">
        <v>6.93E-2</v>
      </c>
      <c r="P20" s="361">
        <f>L20*O20</f>
        <v>3.7457817411168</v>
      </c>
    </row>
    <row r="21" spans="2:16" ht="15.75" thickBot="1">
      <c r="B21" s="379"/>
      <c r="C21" s="374"/>
      <c r="D21" s="375"/>
      <c r="E21" s="367"/>
      <c r="F21" s="374"/>
      <c r="G21" s="376"/>
      <c r="H21" s="374"/>
      <c r="I21" s="374"/>
      <c r="J21" s="374"/>
      <c r="K21" s="374"/>
      <c r="L21" s="377"/>
      <c r="M21" s="377"/>
      <c r="N21" s="374"/>
      <c r="O21" s="374"/>
      <c r="P21" s="374"/>
    </row>
    <row r="22" spans="2:16">
      <c r="B22" s="1087" t="s">
        <v>449</v>
      </c>
      <c r="C22" s="368" t="s">
        <v>424</v>
      </c>
      <c r="D22" s="1093" t="s">
        <v>425</v>
      </c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</row>
    <row r="23" spans="2:16" ht="15.75" thickBot="1">
      <c r="B23" s="1088"/>
      <c r="C23" s="369" t="s">
        <v>455</v>
      </c>
      <c r="D23" s="1094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</row>
    <row r="24" spans="2:16" ht="15.75" thickBot="1">
      <c r="B24" s="370" t="s">
        <v>409</v>
      </c>
      <c r="C24" s="371" t="s">
        <v>410</v>
      </c>
      <c r="D24" s="380" t="s">
        <v>411</v>
      </c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</row>
    <row r="25" spans="2:16" ht="15.75" thickBot="1">
      <c r="B25" s="372" t="s">
        <v>429</v>
      </c>
      <c r="C25" s="373">
        <f>P11</f>
        <v>8.2801491119424</v>
      </c>
      <c r="D25" s="381">
        <f>M11</f>
        <v>33.096699913536</v>
      </c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</row>
    <row r="26" spans="2:16" ht="26.25" thickBot="1">
      <c r="B26" s="372" t="s">
        <v>450</v>
      </c>
      <c r="C26" s="373">
        <f>P20</f>
        <v>3.7457817411168</v>
      </c>
      <c r="D26" s="381">
        <f>M20</f>
        <v>14.972316627552001</v>
      </c>
      <c r="E26" s="378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</row>
    <row r="27" spans="2:16" ht="15.75" thickBot="1">
      <c r="B27" s="369" t="s">
        <v>428</v>
      </c>
      <c r="C27" s="373">
        <f>SUM(C25:C26)</f>
        <v>12.025930853059201</v>
      </c>
      <c r="D27" s="373">
        <f>SUM(D25:D26)</f>
        <v>48.069016541088004</v>
      </c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</row>
    <row r="28" spans="2:16" ht="15.75" thickBot="1"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</row>
    <row r="29" spans="2:16">
      <c r="B29" s="1076" t="s">
        <v>451</v>
      </c>
      <c r="C29" s="1077"/>
      <c r="D29" s="1077"/>
      <c r="E29" s="1077"/>
      <c r="F29" s="1077"/>
      <c r="G29" s="1077"/>
      <c r="H29" s="1077"/>
      <c r="I29" s="1077"/>
      <c r="J29" s="1077"/>
      <c r="K29" s="1077"/>
      <c r="L29" s="1077"/>
      <c r="M29" s="1077"/>
      <c r="N29" s="1078"/>
      <c r="O29" s="378"/>
      <c r="P29" s="378"/>
    </row>
    <row r="30" spans="2:16">
      <c r="B30" s="1079"/>
      <c r="C30" s="1080"/>
      <c r="D30" s="1080"/>
      <c r="E30" s="1080"/>
      <c r="F30" s="1080"/>
      <c r="G30" s="1080"/>
      <c r="H30" s="1080"/>
      <c r="I30" s="1080"/>
      <c r="J30" s="1080"/>
      <c r="K30" s="1080"/>
      <c r="L30" s="1080"/>
      <c r="M30" s="1080"/>
      <c r="N30" s="1081"/>
      <c r="O30" s="378"/>
      <c r="P30" s="378"/>
    </row>
    <row r="31" spans="2:16" ht="15.75" thickBot="1">
      <c r="B31" s="1082"/>
      <c r="C31" s="1083"/>
      <c r="D31" s="1083"/>
      <c r="E31" s="1083"/>
      <c r="F31" s="1083"/>
      <c r="G31" s="1083"/>
      <c r="H31" s="1083"/>
      <c r="I31" s="1083"/>
      <c r="J31" s="1083"/>
      <c r="K31" s="1083"/>
      <c r="L31" s="1083"/>
      <c r="M31" s="1083"/>
      <c r="N31" s="1084"/>
      <c r="O31" s="378"/>
      <c r="P31" s="378"/>
    </row>
  </sheetData>
  <mergeCells count="28">
    <mergeCell ref="K17:K18"/>
    <mergeCell ref="L17:L18"/>
    <mergeCell ref="P17:P18"/>
    <mergeCell ref="B22:B23"/>
    <mergeCell ref="H3:P3"/>
    <mergeCell ref="I8:I9"/>
    <mergeCell ref="M8:M9"/>
    <mergeCell ref="B3:B5"/>
    <mergeCell ref="B13:B15"/>
    <mergeCell ref="D22:D23"/>
    <mergeCell ref="B8:B11"/>
    <mergeCell ref="B17:B20"/>
    <mergeCell ref="B29:N31"/>
    <mergeCell ref="J8:J9"/>
    <mergeCell ref="K8:K9"/>
    <mergeCell ref="L8:L9"/>
    <mergeCell ref="C17:C18"/>
    <mergeCell ref="E17:E18"/>
    <mergeCell ref="F17:F18"/>
    <mergeCell ref="G17:G18"/>
    <mergeCell ref="H17:H18"/>
    <mergeCell ref="I17:I18"/>
    <mergeCell ref="J17:J18"/>
    <mergeCell ref="C8:C9"/>
    <mergeCell ref="E8:E9"/>
    <mergeCell ref="F8:F9"/>
    <mergeCell ref="G8:G9"/>
    <mergeCell ref="H8:H9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22"/>
  <sheetViews>
    <sheetView showGridLines="0" view="pageBreakPreview" topLeftCell="A7" zoomScale="90" zoomScaleNormal="100" zoomScaleSheetLayoutView="90" workbookViewId="0">
      <selection activeCell="D20" sqref="D20"/>
    </sheetView>
  </sheetViews>
  <sheetFormatPr defaultRowHeight="15"/>
  <cols>
    <col min="1" max="1" width="2.5" style="6" customWidth="1"/>
    <col min="2" max="2" width="26" style="6" customWidth="1"/>
    <col min="3" max="3" width="11.875" style="6" customWidth="1"/>
    <col min="4" max="4" width="13.5" style="6" bestFit="1" customWidth="1"/>
    <col min="5" max="5" width="15.625" style="6" customWidth="1"/>
    <col min="6" max="6" width="13.5" style="6" bestFit="1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1:18" s="9" customFormat="1" ht="15" customHeight="1" thickBot="1"/>
    <row r="2" spans="1:18" s="9" customFormat="1" ht="19.5" thickBot="1"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2"/>
    </row>
    <row r="3" spans="1:18" s="9" customFormat="1" ht="15" customHeight="1"/>
    <row r="4" spans="1:18" ht="15.75" thickBot="1">
      <c r="N4" s="13"/>
      <c r="P4" s="13"/>
      <c r="Q4" s="13"/>
      <c r="R4" s="13"/>
    </row>
    <row r="5" spans="1:18" ht="15.75" thickBot="1">
      <c r="B5" s="90" t="s">
        <v>89</v>
      </c>
      <c r="N5" s="13"/>
    </row>
    <row r="6" spans="1:18" ht="33.75" thickBot="1">
      <c r="A6" s="15"/>
      <c r="B6" s="397" t="s">
        <v>4</v>
      </c>
      <c r="C6" s="398" t="s">
        <v>5</v>
      </c>
      <c r="D6" s="398" t="s">
        <v>6</v>
      </c>
      <c r="E6" s="399" t="s">
        <v>7</v>
      </c>
      <c r="F6" s="400" t="s">
        <v>8</v>
      </c>
      <c r="G6" s="15"/>
      <c r="N6" s="13"/>
    </row>
    <row r="7" spans="1:18" ht="15.75" thickBot="1">
      <c r="A7" s="15"/>
      <c r="B7" s="403" t="s">
        <v>383</v>
      </c>
      <c r="C7" s="404">
        <v>11</v>
      </c>
      <c r="D7" s="405">
        <v>5153.6499999999996</v>
      </c>
      <c r="E7" s="94">
        <f>Wskaźniki!$C$7</f>
        <v>0.81200000000000006</v>
      </c>
      <c r="F7" s="406">
        <f>E7*D7</f>
        <v>4184.7637999999997</v>
      </c>
      <c r="G7" s="15"/>
      <c r="K7" s="13"/>
      <c r="N7" s="13"/>
    </row>
    <row r="8" spans="1:18" ht="15.75" thickBot="1">
      <c r="A8" s="15"/>
      <c r="B8" s="407" t="s">
        <v>386</v>
      </c>
      <c r="C8" s="401">
        <v>429</v>
      </c>
      <c r="D8" s="402">
        <v>10353.9</v>
      </c>
      <c r="E8" s="94">
        <f>Wskaźniki!$C$7</f>
        <v>0.81200000000000006</v>
      </c>
      <c r="F8" s="408">
        <f>E8*D8</f>
        <v>8407.3667999999998</v>
      </c>
      <c r="G8" s="15"/>
      <c r="K8" s="13"/>
      <c r="N8" s="13"/>
    </row>
    <row r="9" spans="1:18" ht="15.75" thickBot="1">
      <c r="A9" s="15"/>
      <c r="B9" s="407" t="s">
        <v>312</v>
      </c>
      <c r="C9" s="401">
        <v>5303</v>
      </c>
      <c r="D9" s="402">
        <v>9189.08</v>
      </c>
      <c r="E9" s="94">
        <f>Wskaźniki!$C$7</f>
        <v>0.81200000000000006</v>
      </c>
      <c r="F9" s="408">
        <f>E9*D9</f>
        <v>7461.5329600000005</v>
      </c>
      <c r="G9" s="15"/>
      <c r="K9" s="13"/>
      <c r="N9" s="13"/>
    </row>
    <row r="10" spans="1:18" ht="15.75" thickBot="1">
      <c r="A10" s="15"/>
      <c r="B10" s="407" t="s">
        <v>382</v>
      </c>
      <c r="C10" s="401">
        <v>8</v>
      </c>
      <c r="D10" s="402">
        <f>'Budynki komunalne_2014'!N3</f>
        <v>292.51</v>
      </c>
      <c r="E10" s="94">
        <f>Wskaźniki!$C$7</f>
        <v>0.81200000000000006</v>
      </c>
      <c r="F10" s="408">
        <f>D10*E10</f>
        <v>237.51812000000001</v>
      </c>
      <c r="G10" s="15"/>
      <c r="K10" s="13"/>
      <c r="N10" s="13"/>
    </row>
    <row r="11" spans="1:18" ht="15.75" thickBot="1">
      <c r="A11" s="15"/>
      <c r="B11" s="409" t="s">
        <v>389</v>
      </c>
      <c r="C11" s="414" t="s">
        <v>90</v>
      </c>
      <c r="D11" s="410">
        <f>'Oświetlenie komunalne_2020'!B6</f>
        <v>1282</v>
      </c>
      <c r="E11" s="94">
        <f>Wskaźniki!$C$7</f>
        <v>0.81200000000000006</v>
      </c>
      <c r="F11" s="408">
        <f>D11*E11</f>
        <v>1040.9840000000002</v>
      </c>
      <c r="G11" s="15"/>
      <c r="K11" s="13"/>
      <c r="N11" s="13"/>
    </row>
    <row r="12" spans="1:18" ht="15.75" thickBot="1">
      <c r="A12" s="15"/>
      <c r="B12" s="14"/>
      <c r="C12" s="14"/>
      <c r="D12" s="8">
        <f>SUM(D7:D11)</f>
        <v>26271.139999999996</v>
      </c>
      <c r="E12" s="18"/>
      <c r="F12" s="8">
        <f>SUM(F7:F11)</f>
        <v>21332.165680000002</v>
      </c>
      <c r="G12" s="16"/>
      <c r="K12" s="13"/>
    </row>
    <row r="13" spans="1:18" ht="15.75" thickBot="1">
      <c r="A13" s="15"/>
      <c r="B13" s="4"/>
      <c r="C13" s="5"/>
      <c r="D13" s="16"/>
      <c r="E13" s="17"/>
      <c r="F13" s="16"/>
      <c r="G13" s="15"/>
    </row>
    <row r="14" spans="1:18" ht="15.75" thickBot="1">
      <c r="A14" s="15"/>
      <c r="B14" s="846" t="s">
        <v>63</v>
      </c>
      <c r="C14" s="847"/>
      <c r="G14" s="15"/>
    </row>
    <row r="15" spans="1:18" ht="33.75" thickBot="1">
      <c r="A15" s="15"/>
      <c r="B15" s="397" t="s">
        <v>4</v>
      </c>
      <c r="C15" s="398" t="s">
        <v>5</v>
      </c>
      <c r="D15" s="398" t="s">
        <v>6</v>
      </c>
      <c r="E15" s="399" t="s">
        <v>7</v>
      </c>
      <c r="F15" s="400" t="s">
        <v>8</v>
      </c>
      <c r="G15" s="15"/>
    </row>
    <row r="16" spans="1:18" ht="15.75" thickBot="1">
      <c r="A16" s="15"/>
      <c r="B16" s="403" t="str">
        <f>B7</f>
        <v>Przemysł</v>
      </c>
      <c r="C16" s="412">
        <v>0</v>
      </c>
      <c r="D16" s="405">
        <f>(D7/Charakterystyka_2020!L9)*Charakterystyka_2020!AI9</f>
        <v>5093.06973131822</v>
      </c>
      <c r="E16" s="94">
        <f>Wskaźniki!$C$7</f>
        <v>0.81200000000000006</v>
      </c>
      <c r="F16" s="406">
        <f>E16*D16</f>
        <v>4135.5726218303953</v>
      </c>
    </row>
    <row r="17" spans="1:6" s="20" customFormat="1" ht="15.75" thickBot="1">
      <c r="A17" s="19"/>
      <c r="B17" s="407" t="str">
        <f>B8</f>
        <v>Budynki niekomunalne</v>
      </c>
      <c r="C17" s="411">
        <v>0</v>
      </c>
      <c r="D17" s="402">
        <f>(D8/Charakterystyka_2020!L9)*Charakterystyka_2020!AI9</f>
        <v>10232.191687657431</v>
      </c>
      <c r="E17" s="94">
        <f>Wskaźniki!$C$7</f>
        <v>0.81200000000000006</v>
      </c>
      <c r="F17" s="408">
        <f>E17*D17</f>
        <v>8308.5396503778338</v>
      </c>
    </row>
    <row r="18" spans="1:6" ht="15.75" thickBot="1">
      <c r="A18" s="15"/>
      <c r="B18" s="407" t="str">
        <f>B9</f>
        <v>Budynki mieszkalne</v>
      </c>
      <c r="C18" s="411">
        <v>0</v>
      </c>
      <c r="D18" s="402">
        <f>(D9/Charakterystyka_2020!L9)*Charakterystyka_2020!AI9</f>
        <v>9081.0639462636445</v>
      </c>
      <c r="E18" s="94">
        <f>Wskaźniki!$C$7</f>
        <v>0.81200000000000006</v>
      </c>
      <c r="F18" s="408">
        <f>E18*D18</f>
        <v>7373.8239243660801</v>
      </c>
    </row>
    <row r="19" spans="1:6" ht="15.75" thickBot="1">
      <c r="A19" s="15"/>
      <c r="B19" s="407" t="str">
        <f>B10</f>
        <v>Budynki komunalne</v>
      </c>
      <c r="C19" s="411"/>
      <c r="D19" s="402">
        <f>'Budynki komunalne_2014'!N3</f>
        <v>292.51</v>
      </c>
      <c r="E19" s="94">
        <f>Wskaźniki!$C$7</f>
        <v>0.81200000000000006</v>
      </c>
      <c r="F19" s="408">
        <f t="shared" ref="F19:F20" si="0">E19*D19</f>
        <v>237.51812000000001</v>
      </c>
    </row>
    <row r="20" spans="1:6" ht="15.75" thickBot="1">
      <c r="A20" s="15"/>
      <c r="B20" s="409" t="str">
        <f>B11</f>
        <v>Komunalne oświetlenie publiczne</v>
      </c>
      <c r="C20" s="413"/>
      <c r="D20" s="410">
        <f>'Oświetlenie komunalne_2020'!B13</f>
        <v>1282</v>
      </c>
      <c r="E20" s="94">
        <f>Wskaźniki!$C$7</f>
        <v>0.81200000000000006</v>
      </c>
      <c r="F20" s="408">
        <f t="shared" si="0"/>
        <v>1040.9840000000002</v>
      </c>
    </row>
    <row r="21" spans="1:6" ht="15.75" thickBot="1">
      <c r="A21" s="15"/>
      <c r="B21" s="14"/>
      <c r="C21" s="14"/>
      <c r="D21" s="8">
        <f>SUM(D16:D20)</f>
        <v>25980.835365239294</v>
      </c>
      <c r="E21" s="18"/>
      <c r="F21" s="8">
        <f>SUM(F16:F20)</f>
        <v>21096.438316574309</v>
      </c>
    </row>
    <row r="22" spans="1:6">
      <c r="A22" s="15"/>
    </row>
  </sheetData>
  <mergeCells count="1">
    <mergeCell ref="B14:C1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22"/>
  <sheetViews>
    <sheetView showGridLines="0" view="pageBreakPreview" zoomScale="90" zoomScaleNormal="100" zoomScaleSheetLayoutView="90" workbookViewId="0">
      <selection activeCell="C5" sqref="C5"/>
    </sheetView>
  </sheetViews>
  <sheetFormatPr defaultRowHeight="15"/>
  <cols>
    <col min="1" max="1" width="2.5" style="6" customWidth="1"/>
    <col min="2" max="2" width="26" style="6" customWidth="1"/>
    <col min="3" max="3" width="11.875" style="6" customWidth="1"/>
    <col min="4" max="4" width="13.5" style="6" bestFit="1" customWidth="1"/>
    <col min="5" max="5" width="15.625" style="6" customWidth="1"/>
    <col min="6" max="6" width="13.5" style="6" bestFit="1" customWidth="1"/>
    <col min="7" max="7" width="2.5" style="6" customWidth="1"/>
    <col min="8" max="8" width="9.125" style="6" bestFit="1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1:18" s="9" customFormat="1" ht="15" customHeight="1" thickBot="1"/>
    <row r="2" spans="1:18" s="9" customFormat="1" ht="19.5" thickBot="1"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2"/>
    </row>
    <row r="3" spans="1:18" s="9" customFormat="1" ht="15" customHeight="1"/>
    <row r="4" spans="1:18" ht="15.75" thickBot="1">
      <c r="N4" s="13"/>
      <c r="P4" s="13"/>
      <c r="Q4" s="13"/>
      <c r="R4" s="13"/>
    </row>
    <row r="5" spans="1:18" ht="15.75" thickBot="1">
      <c r="B5" s="90" t="s">
        <v>89</v>
      </c>
      <c r="N5" s="13"/>
    </row>
    <row r="6" spans="1:18" ht="33.75" thickBot="1">
      <c r="A6" s="15"/>
      <c r="B6" s="397" t="s">
        <v>4</v>
      </c>
      <c r="C6" s="398" t="s">
        <v>5</v>
      </c>
      <c r="D6" s="398" t="s">
        <v>6</v>
      </c>
      <c r="E6" s="399" t="s">
        <v>7</v>
      </c>
      <c r="F6" s="400" t="s">
        <v>8</v>
      </c>
      <c r="G6" s="15"/>
      <c r="N6" s="13"/>
    </row>
    <row r="7" spans="1:18" ht="15.75" thickBot="1">
      <c r="A7" s="15"/>
      <c r="B7" s="403" t="s">
        <v>383</v>
      </c>
      <c r="C7" s="404">
        <v>11</v>
      </c>
      <c r="D7" s="405">
        <v>5153.6499999999996</v>
      </c>
      <c r="E7" s="94">
        <f>Wskaźniki!$C$7</f>
        <v>0.81200000000000006</v>
      </c>
      <c r="F7" s="406">
        <f>E7*D7</f>
        <v>4184.7637999999997</v>
      </c>
      <c r="G7" s="15"/>
      <c r="K7" s="13"/>
      <c r="N7" s="13"/>
    </row>
    <row r="8" spans="1:18" ht="15.75" thickBot="1">
      <c r="A8" s="15"/>
      <c r="B8" s="407" t="s">
        <v>386</v>
      </c>
      <c r="C8" s="401">
        <v>429</v>
      </c>
      <c r="D8" s="402">
        <v>10353.9</v>
      </c>
      <c r="E8" s="94">
        <f>Wskaźniki!$C$7</f>
        <v>0.81200000000000006</v>
      </c>
      <c r="F8" s="408">
        <f>E8*D8</f>
        <v>8407.3667999999998</v>
      </c>
      <c r="G8" s="15"/>
      <c r="K8" s="13"/>
      <c r="N8" s="13"/>
    </row>
    <row r="9" spans="1:18" ht="15.75" thickBot="1">
      <c r="A9" s="15"/>
      <c r="B9" s="407" t="s">
        <v>312</v>
      </c>
      <c r="C9" s="401">
        <v>5303</v>
      </c>
      <c r="D9" s="402">
        <v>9189.08</v>
      </c>
      <c r="E9" s="94">
        <f>Wskaźniki!$C$7</f>
        <v>0.81200000000000006</v>
      </c>
      <c r="F9" s="408">
        <f>E9*D9</f>
        <v>7461.5329600000005</v>
      </c>
      <c r="G9" s="15"/>
      <c r="K9" s="13"/>
      <c r="N9" s="13"/>
    </row>
    <row r="10" spans="1:18" ht="15.75" thickBot="1">
      <c r="A10" s="15"/>
      <c r="B10" s="407" t="s">
        <v>382</v>
      </c>
      <c r="C10" s="401">
        <v>10</v>
      </c>
      <c r="D10" s="402">
        <f>'Budynki komunalne_2014'!N3</f>
        <v>292.51</v>
      </c>
      <c r="E10" s="94">
        <f>Wskaźniki!$C$7</f>
        <v>0.81200000000000006</v>
      </c>
      <c r="F10" s="408">
        <f>D10*E10</f>
        <v>237.51812000000001</v>
      </c>
      <c r="G10" s="15"/>
      <c r="K10" s="13"/>
      <c r="N10" s="13"/>
    </row>
    <row r="11" spans="1:18" ht="15.75" thickBot="1">
      <c r="A11" s="15"/>
      <c r="B11" s="409" t="s">
        <v>389</v>
      </c>
      <c r="C11" s="414" t="s">
        <v>90</v>
      </c>
      <c r="D11" s="410">
        <f>'Oświetlenie komunalne_2020'!B6</f>
        <v>1282</v>
      </c>
      <c r="E11" s="94">
        <f>Wskaźniki!$C$7</f>
        <v>0.81200000000000006</v>
      </c>
      <c r="F11" s="408">
        <f>D11*E11</f>
        <v>1040.9840000000002</v>
      </c>
      <c r="G11" s="15"/>
      <c r="K11" s="13"/>
      <c r="N11" s="13"/>
    </row>
    <row r="12" spans="1:18" ht="15.75" thickBot="1">
      <c r="A12" s="15"/>
      <c r="B12" s="14"/>
      <c r="C12" s="14"/>
      <c r="D12" s="8">
        <f>SUM(D7:D11)</f>
        <v>26271.139999999996</v>
      </c>
      <c r="E12" s="18"/>
      <c r="F12" s="8">
        <f>SUM(F7:F11)</f>
        <v>21332.165680000002</v>
      </c>
      <c r="G12" s="16"/>
      <c r="K12" s="13"/>
    </row>
    <row r="13" spans="1:18" ht="15.75" thickBot="1">
      <c r="A13" s="15"/>
      <c r="B13" s="4"/>
      <c r="C13" s="5"/>
      <c r="D13" s="16"/>
      <c r="E13" s="17"/>
      <c r="F13" s="16"/>
      <c r="G13" s="15"/>
    </row>
    <row r="14" spans="1:18" ht="15.75" thickBot="1">
      <c r="A14" s="15"/>
      <c r="B14" s="846" t="s">
        <v>593</v>
      </c>
      <c r="C14" s="847"/>
      <c r="G14" s="15"/>
    </row>
    <row r="15" spans="1:18" ht="33.75" thickBot="1">
      <c r="A15" s="15"/>
      <c r="B15" s="397" t="s">
        <v>4</v>
      </c>
      <c r="C15" s="398" t="s">
        <v>5</v>
      </c>
      <c r="D15" s="398" t="s">
        <v>6</v>
      </c>
      <c r="E15" s="399" t="s">
        <v>7</v>
      </c>
      <c r="F15" s="400" t="s">
        <v>8</v>
      </c>
      <c r="G15" s="15"/>
    </row>
    <row r="16" spans="1:18" ht="15.75" thickBot="1">
      <c r="A16" s="15"/>
      <c r="B16" s="403" t="str">
        <f>B7</f>
        <v>Przemysł</v>
      </c>
      <c r="C16" s="412">
        <v>0</v>
      </c>
      <c r="D16" s="405">
        <f>(D7/Charakterystyka_2024!L9)*Charakterystyka_2024!AI9</f>
        <v>5055.5676602294989</v>
      </c>
      <c r="E16" s="94">
        <f>Wskaźniki!$C$7</f>
        <v>0.81200000000000006</v>
      </c>
      <c r="F16" s="406">
        <f>E16*D16</f>
        <v>4105.1209401063534</v>
      </c>
    </row>
    <row r="17" spans="1:6" s="20" customFormat="1" ht="15.75" thickBot="1">
      <c r="A17" s="19"/>
      <c r="B17" s="407" t="str">
        <f>B8</f>
        <v>Budynki niekomunalne</v>
      </c>
      <c r="C17" s="411">
        <v>0</v>
      </c>
      <c r="D17" s="402">
        <f>(D8/Charakterystyka_2024!L9)*Charakterystyka_2024!AI9</f>
        <v>10156.84844668346</v>
      </c>
      <c r="E17" s="94">
        <f>Wskaźniki!$C$7</f>
        <v>0.81200000000000006</v>
      </c>
      <c r="F17" s="408">
        <f>E17*D17</f>
        <v>8247.36093870697</v>
      </c>
    </row>
    <row r="18" spans="1:6" ht="15.75" thickBot="1">
      <c r="A18" s="15"/>
      <c r="B18" s="407" t="str">
        <f>B9</f>
        <v>Budynki mieszkalne</v>
      </c>
      <c r="C18" s="411">
        <v>0</v>
      </c>
      <c r="D18" s="402">
        <f>(D9/Charakterystyka_2024!L9)*Charakterystyka_2024!AI9</f>
        <v>9014.1968653792337</v>
      </c>
      <c r="E18" s="94">
        <f>Wskaźniki!$C$7</f>
        <v>0.81200000000000006</v>
      </c>
      <c r="F18" s="408">
        <f>E18*D18</f>
        <v>7319.5278546879381</v>
      </c>
    </row>
    <row r="19" spans="1:6" ht="15.75" thickBot="1">
      <c r="A19" s="15"/>
      <c r="B19" s="407" t="str">
        <f>B10</f>
        <v>Budynki komunalne</v>
      </c>
      <c r="C19" s="411"/>
      <c r="D19" s="402">
        <f>'Budynki komunalne_2014'!N3</f>
        <v>292.51</v>
      </c>
      <c r="E19" s="94">
        <f>Wskaźniki!$C$7</f>
        <v>0.81200000000000006</v>
      </c>
      <c r="F19" s="408">
        <f t="shared" ref="F19:F20" si="0">E19*D19</f>
        <v>237.51812000000001</v>
      </c>
    </row>
    <row r="20" spans="1:6" ht="15.75" thickBot="1">
      <c r="A20" s="15"/>
      <c r="B20" s="409" t="str">
        <f>B11</f>
        <v>Komunalne oświetlenie publiczne</v>
      </c>
      <c r="C20" s="413"/>
      <c r="D20" s="410">
        <f>'Oświetlenie komunalne_2024'!B13</f>
        <v>1297.3316804114618</v>
      </c>
      <c r="E20" s="94">
        <f>Wskaźniki!$C$7</f>
        <v>0.81200000000000006</v>
      </c>
      <c r="F20" s="408">
        <f t="shared" si="0"/>
        <v>1053.433324494107</v>
      </c>
    </row>
    <row r="21" spans="1:6" ht="15.75" thickBot="1">
      <c r="A21" s="15"/>
      <c r="B21" s="14"/>
      <c r="C21" s="14"/>
      <c r="D21" s="8">
        <f>SUM(D16:D20)</f>
        <v>25816.454652703651</v>
      </c>
      <c r="E21" s="18"/>
      <c r="F21" s="8">
        <f>SUM(F16:F20)</f>
        <v>20962.96117799537</v>
      </c>
    </row>
    <row r="22" spans="1:6">
      <c r="A22" s="15"/>
    </row>
  </sheetData>
  <mergeCells count="1">
    <mergeCell ref="B14:C14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L20"/>
  <sheetViews>
    <sheetView showGridLines="0" view="pageBreakPreview" topLeftCell="A7" zoomScaleNormal="100" zoomScaleSheetLayoutView="100" workbookViewId="0">
      <selection activeCell="K33" sqref="K33"/>
    </sheetView>
  </sheetViews>
  <sheetFormatPr defaultRowHeight="15"/>
  <cols>
    <col min="1" max="1" width="2.5" style="6" customWidth="1"/>
    <col min="2" max="2" width="9" style="6"/>
    <col min="3" max="3" width="17.875" style="6" customWidth="1"/>
    <col min="4" max="4" width="15.5" style="6" customWidth="1"/>
    <col min="5" max="6" width="15.625" style="6" customWidth="1"/>
    <col min="7" max="7" width="13.5" style="6" bestFit="1" customWidth="1"/>
    <col min="8" max="8" width="9.75" style="6" bestFit="1" customWidth="1"/>
    <col min="9" max="9" width="9.125" style="6" bestFit="1" customWidth="1"/>
    <col min="10" max="10" width="12.75" style="6" customWidth="1"/>
    <col min="11" max="11" width="13.7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/>
    <row r="2" spans="2:12" s="9" customFormat="1" ht="19.5" thickBot="1">
      <c r="B2" s="10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  <row r="4" spans="2:12" ht="15.75" thickBot="1">
      <c r="B4" s="22"/>
      <c r="C4" s="22"/>
      <c r="D4" s="23"/>
      <c r="E4" s="23"/>
      <c r="F4" s="23"/>
      <c r="G4" s="24"/>
      <c r="H4" s="21"/>
    </row>
    <row r="5" spans="2:12" ht="15.75" thickBot="1">
      <c r="B5" s="90" t="s">
        <v>89</v>
      </c>
      <c r="C5" s="23"/>
      <c r="D5" s="23"/>
      <c r="E5" s="23"/>
      <c r="F5" s="23"/>
      <c r="G5" s="24"/>
      <c r="H5" s="21"/>
    </row>
    <row r="6" spans="2:12" ht="30">
      <c r="B6" s="848"/>
      <c r="C6" s="849"/>
      <c r="D6" s="27" t="s">
        <v>15</v>
      </c>
      <c r="E6" s="27" t="s">
        <v>12</v>
      </c>
      <c r="F6" s="28" t="s">
        <v>208</v>
      </c>
      <c r="G6" s="32" t="s">
        <v>13</v>
      </c>
      <c r="H6" s="29" t="s">
        <v>14</v>
      </c>
    </row>
    <row r="7" spans="2:12">
      <c r="B7" s="850" t="str">
        <f>'En. elektryczna_2020'!B7</f>
        <v>Przemysł</v>
      </c>
      <c r="C7" s="851"/>
      <c r="D7" s="33">
        <v>51038.84</v>
      </c>
      <c r="E7" s="30">
        <f>D7*0.0373</f>
        <v>1903.7487319999998</v>
      </c>
      <c r="F7" s="30">
        <f>E7/K11</f>
        <v>528.81909222222214</v>
      </c>
      <c r="G7" s="132">
        <f>Wskaźniki!$C$12</f>
        <v>5.5820000000000002E-2</v>
      </c>
      <c r="H7" s="31">
        <f>E7*G7</f>
        <v>106.26725422023999</v>
      </c>
    </row>
    <row r="8" spans="2:12">
      <c r="B8" s="850" t="str">
        <f>'En. elektryczna_2020'!B8</f>
        <v>Budynki niekomunalne</v>
      </c>
      <c r="C8" s="851"/>
      <c r="D8" s="126">
        <v>1034734.72</v>
      </c>
      <c r="E8" s="30">
        <f t="shared" ref="E8" si="0">D8*0.0373</f>
        <v>38595.605056</v>
      </c>
      <c r="F8" s="30">
        <f>E8/K11</f>
        <v>10721.001404444445</v>
      </c>
      <c r="G8" s="132">
        <f>Wskaźniki!$C$12</f>
        <v>5.5820000000000002E-2</v>
      </c>
      <c r="H8" s="31">
        <f>E8*G8</f>
        <v>2154.4066742259201</v>
      </c>
    </row>
    <row r="9" spans="2:12" ht="15.75" thickBot="1">
      <c r="B9" s="850" t="str">
        <f>'En. elektryczna_2020'!B9</f>
        <v>Budynki mieszkalne</v>
      </c>
      <c r="C9" s="851"/>
      <c r="D9" s="126">
        <v>2468100</v>
      </c>
      <c r="E9" s="30">
        <f>D9*0.0373</f>
        <v>92060.13</v>
      </c>
      <c r="F9" s="30">
        <f>E9/K11</f>
        <v>25572.258333333335</v>
      </c>
      <c r="G9" s="132">
        <f>Wskaźniki!$C$12</f>
        <v>5.5820000000000002E-2</v>
      </c>
      <c r="H9" s="31">
        <f>E9*G9</f>
        <v>5138.7964566000001</v>
      </c>
    </row>
    <row r="10" spans="2:12" s="419" customFormat="1" ht="15" customHeight="1" thickBot="1">
      <c r="B10" s="852" t="str">
        <f>'En. elektryczna_2020'!B10</f>
        <v>Budynki komunalne</v>
      </c>
      <c r="C10" s="853"/>
      <c r="D10" s="417">
        <f>E10/Wskaźniki!C11</f>
        <v>892702.38095238095</v>
      </c>
      <c r="E10" s="418">
        <f>'Budynki komunalne_2014'!G4+'Budynki komunalne_2014'!G5+'Budynki komunalne_2014'!G6+'Budynki komunalne_2014'!G7+'Budynki komunalne_2014'!G10+'Budynki komunalne_2014'!G11</f>
        <v>32244.41</v>
      </c>
      <c r="F10" s="418">
        <f>E10/K11</f>
        <v>8956.7805555555551</v>
      </c>
      <c r="G10" s="132">
        <f>Wskaźniki!$C$12</f>
        <v>5.5820000000000002E-2</v>
      </c>
      <c r="H10" s="31">
        <f>E10*G10</f>
        <v>1799.8829662000001</v>
      </c>
      <c r="J10" s="854" t="s">
        <v>211</v>
      </c>
      <c r="K10" s="855"/>
      <c r="L10" s="856"/>
    </row>
    <row r="11" spans="2:12" ht="15.75" thickBot="1">
      <c r="B11" s="857" t="s">
        <v>3</v>
      </c>
      <c r="C11" s="858"/>
      <c r="D11" s="34">
        <f>SUM(D7:D10)</f>
        <v>4446575.9409523811</v>
      </c>
      <c r="E11" s="34">
        <f>SUM(E7:E10)</f>
        <v>164803.89378800002</v>
      </c>
      <c r="F11" s="34">
        <f>SUM(F7:F10)</f>
        <v>45778.859385555552</v>
      </c>
      <c r="G11" s="35"/>
      <c r="H11" s="36">
        <f>SUM(H7:H10)</f>
        <v>9199.3533512461599</v>
      </c>
      <c r="J11" s="623" t="s">
        <v>212</v>
      </c>
      <c r="K11" s="626">
        <v>3.6</v>
      </c>
      <c r="L11" s="624" t="s">
        <v>207</v>
      </c>
    </row>
    <row r="12" spans="2:12" ht="15.75" thickBot="1">
      <c r="B12" s="862"/>
      <c r="C12" s="862"/>
      <c r="D12" s="125"/>
      <c r="E12" s="123"/>
      <c r="F12" s="123"/>
      <c r="G12" s="124"/>
      <c r="H12" s="123"/>
      <c r="J12" s="634" t="s">
        <v>213</v>
      </c>
      <c r="K12" s="627">
        <v>0.27700000000000002</v>
      </c>
      <c r="L12" s="625" t="s">
        <v>214</v>
      </c>
    </row>
    <row r="13" spans="2:12" ht="15.75" thickBot="1">
      <c r="B13" s="22"/>
      <c r="C13" s="22"/>
      <c r="D13" s="25"/>
      <c r="E13" s="23"/>
      <c r="F13" s="23"/>
      <c r="G13" s="23"/>
      <c r="H13" s="21"/>
    </row>
    <row r="14" spans="2:12" ht="15.75" thickBot="1">
      <c r="B14" s="846" t="s">
        <v>63</v>
      </c>
      <c r="C14" s="847"/>
      <c r="D14" s="23"/>
      <c r="E14" s="23"/>
      <c r="F14" s="23"/>
      <c r="G14" s="24"/>
      <c r="H14" s="21"/>
      <c r="J14" s="122"/>
      <c r="K14" s="127"/>
    </row>
    <row r="15" spans="2:12" s="20" customFormat="1" ht="30">
      <c r="B15" s="848"/>
      <c r="C15" s="849"/>
      <c r="D15" s="27" t="s">
        <v>15</v>
      </c>
      <c r="E15" s="27" t="s">
        <v>12</v>
      </c>
      <c r="F15" s="27" t="str">
        <f>F6</f>
        <v>zużycie gazu [MWh]</v>
      </c>
      <c r="G15" s="32" t="s">
        <v>13</v>
      </c>
      <c r="H15" s="29" t="s">
        <v>14</v>
      </c>
      <c r="J15" s="122"/>
      <c r="K15" s="128"/>
    </row>
    <row r="16" spans="2:12" ht="15" customHeight="1">
      <c r="B16" s="859" t="str">
        <f>B7</f>
        <v>Przemysł</v>
      </c>
      <c r="C16" s="851"/>
      <c r="D16" s="78">
        <f>(D7/Charakterystyka_2020!L9)*Charakterystyka_2020!AI9</f>
        <v>50438.887220822835</v>
      </c>
      <c r="E16" s="77">
        <f>D16*0.0373</f>
        <v>1881.3704933366917</v>
      </c>
      <c r="F16" s="77">
        <f>E16/K11</f>
        <v>522.60291481574768</v>
      </c>
      <c r="G16" s="132">
        <f>Wskaźniki!$C$12</f>
        <v>5.5820000000000002E-2</v>
      </c>
      <c r="H16" s="31">
        <f>E16*G16</f>
        <v>105.01810093805413</v>
      </c>
      <c r="J16" s="122"/>
      <c r="K16" s="127"/>
    </row>
    <row r="17" spans="2:11">
      <c r="B17" s="859" t="str">
        <f>B8</f>
        <v>Budynki niekomunalne</v>
      </c>
      <c r="C17" s="851"/>
      <c r="D17" s="79">
        <f>(D8/Charakterystyka_2020!L9)*Charakterystyka_2020!AI9</f>
        <v>1022571.5914693535</v>
      </c>
      <c r="E17" s="77">
        <f>D17*0.0373</f>
        <v>38141.920361806886</v>
      </c>
      <c r="F17" s="77">
        <f>E17/K11</f>
        <v>10594.977878279691</v>
      </c>
      <c r="G17" s="132">
        <f>Wskaźniki!$C$12</f>
        <v>5.5820000000000002E-2</v>
      </c>
      <c r="H17" s="31">
        <f>E17*G17</f>
        <v>2129.0819945960602</v>
      </c>
      <c r="K17" s="14"/>
    </row>
    <row r="18" spans="2:11">
      <c r="B18" s="859" t="str">
        <f>B9</f>
        <v>Budynki mieszkalne</v>
      </c>
      <c r="C18" s="851"/>
      <c r="D18" s="79">
        <f>D9/Charakterystyka_2020!L9*Charakterystyka_2020!AI9</f>
        <v>2439087.909319899</v>
      </c>
      <c r="E18" s="77">
        <f>D18*0.0373</f>
        <v>90977.979017632228</v>
      </c>
      <c r="F18" s="77">
        <f>E18/K11</f>
        <v>25271.660838231175</v>
      </c>
      <c r="G18" s="132">
        <f>Wskaźniki!$C$12</f>
        <v>5.5820000000000002E-2</v>
      </c>
      <c r="H18" s="31">
        <f>E18*G18</f>
        <v>5078.3907887642308</v>
      </c>
    </row>
    <row r="19" spans="2:11">
      <c r="B19" s="860" t="str">
        <f>B10</f>
        <v>Budynki komunalne</v>
      </c>
      <c r="C19" s="861"/>
      <c r="D19" s="415">
        <f>E19/Wskaźniki!C11</f>
        <v>892702.38095238095</v>
      </c>
      <c r="E19" s="416">
        <f>'Budynki komunalne_2014'!G4+'Budynki komunalne_2014'!G5+'Budynki komunalne_2014'!G6+'Budynki komunalne_2014'!G7+'Budynki komunalne_2014'!G10+'Budynki komunalne_2014'!G11</f>
        <v>32244.41</v>
      </c>
      <c r="F19" s="416">
        <f>E19/K11</f>
        <v>8956.7805555555551</v>
      </c>
      <c r="G19" s="132">
        <f>Wskaźniki!$C$12</f>
        <v>5.5820000000000002E-2</v>
      </c>
      <c r="H19" s="31">
        <f>E19*G19</f>
        <v>1799.8829662000001</v>
      </c>
    </row>
    <row r="20" spans="2:11" ht="15.75" thickBot="1">
      <c r="B20" s="857" t="s">
        <v>3</v>
      </c>
      <c r="C20" s="858"/>
      <c r="D20" s="34">
        <f>SUM(D16:D19)</f>
        <v>4404800.7689624559</v>
      </c>
      <c r="E20" s="34">
        <f t="shared" ref="E20:F20" si="1">SUM(E16:E19)</f>
        <v>163245.6798727758</v>
      </c>
      <c r="F20" s="34">
        <f t="shared" si="1"/>
        <v>45346.022186882168</v>
      </c>
      <c r="G20" s="35"/>
      <c r="H20" s="36">
        <f>SUM(H16:H19)</f>
        <v>9112.3738504983448</v>
      </c>
    </row>
  </sheetData>
  <mergeCells count="15">
    <mergeCell ref="J10:L10"/>
    <mergeCell ref="B20:C20"/>
    <mergeCell ref="B14:C14"/>
    <mergeCell ref="B15:C15"/>
    <mergeCell ref="B16:C16"/>
    <mergeCell ref="B17:C17"/>
    <mergeCell ref="B18:C18"/>
    <mergeCell ref="B19:C19"/>
    <mergeCell ref="B12:C12"/>
    <mergeCell ref="B11:C11"/>
    <mergeCell ref="B6:C6"/>
    <mergeCell ref="B7:C7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"/>
  <sheetViews>
    <sheetView view="pageBreakPreview" zoomScale="80" zoomScaleNormal="100" zoomScaleSheetLayoutView="80" workbookViewId="0">
      <selection activeCell="I25" sqref="I25"/>
    </sheetView>
  </sheetViews>
  <sheetFormatPr defaultRowHeight="15"/>
  <cols>
    <col min="1" max="1" width="2.5" style="6" customWidth="1"/>
    <col min="2" max="2" width="9" style="6"/>
    <col min="3" max="3" width="11.875" style="6" customWidth="1"/>
    <col min="4" max="4" width="13.5" style="6" bestFit="1" customWidth="1"/>
    <col min="5" max="5" width="15.625" style="6" customWidth="1"/>
    <col min="6" max="6" width="13.5" style="6" bestFit="1" customWidth="1"/>
    <col min="7" max="7" width="2.5" style="6" customWidth="1"/>
    <col min="8" max="8" width="9.875" style="6" customWidth="1"/>
    <col min="9" max="9" width="12.75" style="6" customWidth="1"/>
    <col min="10" max="10" width="13.75" style="6" customWidth="1"/>
    <col min="11" max="11" width="18" style="6" customWidth="1"/>
    <col min="12" max="12" width="13.5" style="6" bestFit="1" customWidth="1"/>
    <col min="13" max="13" width="9" style="6" customWidth="1"/>
    <col min="14" max="14" width="11.625" style="6" customWidth="1"/>
    <col min="15" max="15" width="9" style="6" customWidth="1"/>
    <col min="16" max="18" width="11.625" style="6" customWidth="1"/>
    <col min="19" max="19" width="9" style="6" customWidth="1"/>
    <col min="20" max="16384" width="9" style="6"/>
  </cols>
  <sheetData>
    <row r="1" spans="2:12" s="9" customFormat="1" ht="15" customHeight="1" thickBot="1"/>
    <row r="2" spans="2:12" s="9" customFormat="1" ht="19.5" thickBot="1">
      <c r="B2" s="10" t="s">
        <v>16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L20"/>
  <sheetViews>
    <sheetView showGridLines="0" view="pageBreakPreview" zoomScaleNormal="100" zoomScaleSheetLayoutView="100" workbookViewId="0">
      <selection activeCell="C5" sqref="C5"/>
    </sheetView>
  </sheetViews>
  <sheetFormatPr defaultRowHeight="15"/>
  <cols>
    <col min="1" max="1" width="2.5" style="6" customWidth="1"/>
    <col min="2" max="2" width="9" style="6"/>
    <col min="3" max="3" width="17.875" style="6" customWidth="1"/>
    <col min="4" max="4" width="15.5" style="6" customWidth="1"/>
    <col min="5" max="6" width="15.625" style="6" customWidth="1"/>
    <col min="7" max="7" width="13.5" style="6" bestFit="1" customWidth="1"/>
    <col min="8" max="8" width="9.75" style="6" bestFit="1" customWidth="1"/>
    <col min="9" max="9" width="9.125" style="6" bestFit="1" customWidth="1"/>
    <col min="10" max="10" width="12.75" style="6" customWidth="1"/>
    <col min="11" max="11" width="13.75" style="6" customWidth="1"/>
    <col min="12" max="12" width="18" style="6" customWidth="1"/>
    <col min="13" max="13" width="13.5" style="6" bestFit="1" customWidth="1"/>
    <col min="14" max="14" width="9" style="6" customWidth="1"/>
    <col min="15" max="15" width="11.625" style="6" customWidth="1"/>
    <col min="16" max="16" width="9" style="6" customWidth="1"/>
    <col min="17" max="19" width="11.625" style="6" customWidth="1"/>
    <col min="20" max="20" width="9" style="6" customWidth="1"/>
    <col min="21" max="16384" width="9" style="6"/>
  </cols>
  <sheetData>
    <row r="1" spans="2:12" s="9" customFormat="1" ht="15" customHeight="1" thickBot="1"/>
    <row r="2" spans="2:12" s="9" customFormat="1" ht="19.5" thickBot="1">
      <c r="B2" s="10" t="s">
        <v>11</v>
      </c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2:12" s="9" customFormat="1" ht="15" customHeight="1"/>
    <row r="4" spans="2:12" ht="15.75" thickBot="1">
      <c r="B4" s="22"/>
      <c r="C4" s="22"/>
      <c r="D4" s="23"/>
      <c r="E4" s="23"/>
      <c r="F4" s="23"/>
      <c r="G4" s="24"/>
      <c r="H4" s="21"/>
    </row>
    <row r="5" spans="2:12" ht="15.75" thickBot="1">
      <c r="B5" s="90" t="s">
        <v>89</v>
      </c>
      <c r="C5" s="23"/>
      <c r="D5" s="23"/>
      <c r="E5" s="23"/>
      <c r="F5" s="23"/>
      <c r="G5" s="24"/>
      <c r="H5" s="21"/>
    </row>
    <row r="6" spans="2:12" ht="30">
      <c r="B6" s="848"/>
      <c r="C6" s="849"/>
      <c r="D6" s="27" t="s">
        <v>15</v>
      </c>
      <c r="E6" s="27" t="s">
        <v>12</v>
      </c>
      <c r="F6" s="28" t="s">
        <v>208</v>
      </c>
      <c r="G6" s="32" t="s">
        <v>13</v>
      </c>
      <c r="H6" s="29" t="s">
        <v>14</v>
      </c>
    </row>
    <row r="7" spans="2:12">
      <c r="B7" s="850" t="str">
        <f>'En. elektryczna_2020'!B7</f>
        <v>Przemysł</v>
      </c>
      <c r="C7" s="851"/>
      <c r="D7" s="33">
        <v>51038.84</v>
      </c>
      <c r="E7" s="30">
        <f>D7*0.0373</f>
        <v>1903.7487319999998</v>
      </c>
      <c r="F7" s="30">
        <f>E7/K11</f>
        <v>528.81909222222214</v>
      </c>
      <c r="G7" s="132">
        <f>Wskaźniki!$C$12</f>
        <v>5.5820000000000002E-2</v>
      </c>
      <c r="H7" s="31">
        <f>E7*G7</f>
        <v>106.26725422023999</v>
      </c>
    </row>
    <row r="8" spans="2:12">
      <c r="B8" s="850" t="str">
        <f>'En. elektryczna_2020'!B8</f>
        <v>Budynki niekomunalne</v>
      </c>
      <c r="C8" s="851"/>
      <c r="D8" s="126">
        <v>1034734.72</v>
      </c>
      <c r="E8" s="30">
        <f t="shared" ref="E8" si="0">D8*0.0373</f>
        <v>38595.605056</v>
      </c>
      <c r="F8" s="30">
        <f>E8/K11</f>
        <v>10721.001404444445</v>
      </c>
      <c r="G8" s="132">
        <f>Wskaźniki!$C$12</f>
        <v>5.5820000000000002E-2</v>
      </c>
      <c r="H8" s="31">
        <f>E8*G8</f>
        <v>2154.4066742259201</v>
      </c>
    </row>
    <row r="9" spans="2:12" ht="15.75" thickBot="1">
      <c r="B9" s="850" t="str">
        <f>'En. elektryczna_2020'!B9</f>
        <v>Budynki mieszkalne</v>
      </c>
      <c r="C9" s="851"/>
      <c r="D9" s="126">
        <v>2468100</v>
      </c>
      <c r="E9" s="30">
        <f>D9*0.0373</f>
        <v>92060.13</v>
      </c>
      <c r="F9" s="30">
        <f>E9/K11</f>
        <v>25572.258333333335</v>
      </c>
      <c r="G9" s="132">
        <f>Wskaźniki!$C$12</f>
        <v>5.5820000000000002E-2</v>
      </c>
      <c r="H9" s="31">
        <f>E9*G9</f>
        <v>5138.7964566000001</v>
      </c>
    </row>
    <row r="10" spans="2:12" s="419" customFormat="1" ht="15" customHeight="1" thickBot="1">
      <c r="B10" s="852" t="str">
        <f>'En. elektryczna_2020'!B10</f>
        <v>Budynki komunalne</v>
      </c>
      <c r="C10" s="853"/>
      <c r="D10" s="417">
        <f>E10/Wskaźniki!C11</f>
        <v>1001247.3883499447</v>
      </c>
      <c r="E10" s="418">
        <f>'Budynki komunalne_2014'!G4+'Budynki komunalne_2014'!G5+'Budynki komunalne_2014'!G6+'Budynki komunalne_2014'!G7+'Budynki komunalne_2014'!G10+'Budynki komunalne_2014'!G11+'Budynki komunalne_2014'!G12+'Budynki komunalne_2014'!G13</f>
        <v>36165.055667200002</v>
      </c>
      <c r="F10" s="418">
        <f>E10/K11</f>
        <v>10045.848796444445</v>
      </c>
      <c r="G10" s="132">
        <f>Wskaźniki!$C$12</f>
        <v>5.5820000000000002E-2</v>
      </c>
      <c r="H10" s="31">
        <f>E10*G10</f>
        <v>2018.7334073431041</v>
      </c>
      <c r="J10" s="854" t="s">
        <v>211</v>
      </c>
      <c r="K10" s="855"/>
      <c r="L10" s="856"/>
    </row>
    <row r="11" spans="2:12" ht="15.75" thickBot="1">
      <c r="B11" s="857" t="s">
        <v>3</v>
      </c>
      <c r="C11" s="858"/>
      <c r="D11" s="34">
        <f>SUM(D7:D10)</f>
        <v>4555120.9483499452</v>
      </c>
      <c r="E11" s="34">
        <f>SUM(E7:E10)</f>
        <v>168724.53945520002</v>
      </c>
      <c r="F11" s="34">
        <f>SUM(F7:F10)</f>
        <v>46867.927626444442</v>
      </c>
      <c r="G11" s="35"/>
      <c r="H11" s="36">
        <f>SUM(H7:H10)</f>
        <v>9418.203792389264</v>
      </c>
      <c r="J11" s="623" t="s">
        <v>212</v>
      </c>
      <c r="K11" s="626">
        <v>3.6</v>
      </c>
      <c r="L11" s="624" t="s">
        <v>207</v>
      </c>
    </row>
    <row r="12" spans="2:12" ht="15.75" thickBot="1">
      <c r="B12" s="862"/>
      <c r="C12" s="862"/>
      <c r="D12" s="125"/>
      <c r="E12" s="123"/>
      <c r="F12" s="123"/>
      <c r="G12" s="124"/>
      <c r="H12" s="123"/>
      <c r="J12" s="673" t="s">
        <v>213</v>
      </c>
      <c r="K12" s="627">
        <v>0.27700000000000002</v>
      </c>
      <c r="L12" s="625" t="s">
        <v>214</v>
      </c>
    </row>
    <row r="13" spans="2:12" ht="15.75" thickBot="1">
      <c r="B13" s="22"/>
      <c r="C13" s="22"/>
      <c r="D13" s="25"/>
      <c r="E13" s="23"/>
      <c r="F13" s="23"/>
      <c r="G13" s="23"/>
      <c r="H13" s="21"/>
    </row>
    <row r="14" spans="2:12" ht="15.75" thickBot="1">
      <c r="B14" s="846" t="s">
        <v>593</v>
      </c>
      <c r="C14" s="847"/>
      <c r="D14" s="23"/>
      <c r="E14" s="23"/>
      <c r="F14" s="23"/>
      <c r="G14" s="24"/>
      <c r="H14" s="21"/>
      <c r="J14" s="122"/>
      <c r="K14" s="127"/>
    </row>
    <row r="15" spans="2:12" s="20" customFormat="1" ht="30">
      <c r="B15" s="848"/>
      <c r="C15" s="849"/>
      <c r="D15" s="27" t="s">
        <v>15</v>
      </c>
      <c r="E15" s="27" t="s">
        <v>12</v>
      </c>
      <c r="F15" s="27" t="str">
        <f>F6</f>
        <v>zużycie gazu [MWh]</v>
      </c>
      <c r="G15" s="32" t="s">
        <v>13</v>
      </c>
      <c r="H15" s="29" t="s">
        <v>14</v>
      </c>
      <c r="J15" s="122"/>
      <c r="K15" s="128"/>
    </row>
    <row r="16" spans="2:12" ht="15" customHeight="1">
      <c r="B16" s="859" t="str">
        <f>B7</f>
        <v>Przemysł</v>
      </c>
      <c r="C16" s="851"/>
      <c r="D16" s="78">
        <f>(D7/Charakterystyka_2024!L9)*Charakterystyka_2024!AI9</f>
        <v>50067.487881332214</v>
      </c>
      <c r="E16" s="77">
        <f>D16*0.0373</f>
        <v>1867.5172979736915</v>
      </c>
      <c r="F16" s="77">
        <f>E16/K11</f>
        <v>518.75480499269202</v>
      </c>
      <c r="G16" s="132">
        <f>Wskaźniki!$C$12</f>
        <v>5.5820000000000002E-2</v>
      </c>
      <c r="H16" s="31">
        <f>E16*G16</f>
        <v>104.24481557289147</v>
      </c>
      <c r="J16" s="122"/>
      <c r="K16" s="127"/>
    </row>
    <row r="17" spans="2:11">
      <c r="B17" s="859" t="str">
        <f>B8</f>
        <v>Budynki niekomunalne</v>
      </c>
      <c r="C17" s="851"/>
      <c r="D17" s="79">
        <f>(D8/Charakterystyka_2024!L9)*Charakterystyka_2024!AI9</f>
        <v>1015042.0357122866</v>
      </c>
      <c r="E17" s="77">
        <f>D17*0.0373</f>
        <v>37861.06793206829</v>
      </c>
      <c r="F17" s="77">
        <f>E17/K11</f>
        <v>10516.963314463414</v>
      </c>
      <c r="G17" s="132">
        <f>Wskaźniki!$C$12</f>
        <v>5.5820000000000002E-2</v>
      </c>
      <c r="H17" s="31">
        <f>E17*G17</f>
        <v>2113.4048119680519</v>
      </c>
      <c r="K17" s="14"/>
    </row>
    <row r="18" spans="2:11">
      <c r="B18" s="859" t="str">
        <f>B9</f>
        <v>Budynki mieszkalne</v>
      </c>
      <c r="C18" s="851"/>
      <c r="D18" s="79">
        <f>D9/Charakterystyka_2024!L9*Charakterystyka_2024!AI9</f>
        <v>2421128.0436607893</v>
      </c>
      <c r="E18" s="77">
        <f>D18*0.0373</f>
        <v>90308.076028547439</v>
      </c>
      <c r="F18" s="77">
        <f>E18/K11</f>
        <v>25085.576674596508</v>
      </c>
      <c r="G18" s="132">
        <f>Wskaźniki!$C$12</f>
        <v>5.5820000000000002E-2</v>
      </c>
      <c r="H18" s="31">
        <f>E18*G18</f>
        <v>5040.9968039135183</v>
      </c>
    </row>
    <row r="19" spans="2:11">
      <c r="B19" s="860" t="str">
        <f>B10</f>
        <v>Budynki komunalne</v>
      </c>
      <c r="C19" s="861"/>
      <c r="D19" s="415">
        <f>E19/Wskaźniki!C11</f>
        <v>1001247.3883499447</v>
      </c>
      <c r="E19" s="416">
        <f>'Budynki komunalne_2014'!G4+'Budynki komunalne_2014'!G5+'Budynki komunalne_2014'!G6+'Budynki komunalne_2014'!G7+'Budynki komunalne_2014'!G10+'Budynki komunalne_2014'!G11+'Budynki komunalne_2014'!G12+'Budynki komunalne_2014'!G13</f>
        <v>36165.055667200002</v>
      </c>
      <c r="F19" s="416">
        <f>E19/K11</f>
        <v>10045.848796444445</v>
      </c>
      <c r="G19" s="132">
        <f>Wskaźniki!$C$12</f>
        <v>5.5820000000000002E-2</v>
      </c>
      <c r="H19" s="31">
        <f>E19*G19</f>
        <v>2018.7334073431041</v>
      </c>
    </row>
    <row r="20" spans="2:11" ht="15.75" thickBot="1">
      <c r="B20" s="857" t="s">
        <v>3</v>
      </c>
      <c r="C20" s="858"/>
      <c r="D20" s="34">
        <f>SUM(D16:D19)</f>
        <v>4487484.955604353</v>
      </c>
      <c r="E20" s="34">
        <f t="shared" ref="E20:F20" si="1">SUM(E16:E19)</f>
        <v>166201.71692578943</v>
      </c>
      <c r="F20" s="34">
        <f t="shared" si="1"/>
        <v>46167.143590497057</v>
      </c>
      <c r="G20" s="35"/>
      <c r="H20" s="36">
        <f>SUM(H16:H19)</f>
        <v>9277.3798387975658</v>
      </c>
    </row>
  </sheetData>
  <mergeCells count="15">
    <mergeCell ref="B18:C18"/>
    <mergeCell ref="B19:C19"/>
    <mergeCell ref="B20:C20"/>
    <mergeCell ref="B11:C11"/>
    <mergeCell ref="B12:C12"/>
    <mergeCell ref="B14:C14"/>
    <mergeCell ref="B15:C15"/>
    <mergeCell ref="B16:C16"/>
    <mergeCell ref="B17:C17"/>
    <mergeCell ref="J10:L10"/>
    <mergeCell ref="B6:C6"/>
    <mergeCell ref="B7:C7"/>
    <mergeCell ref="B8:C8"/>
    <mergeCell ref="B9:C9"/>
    <mergeCell ref="B10:C10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42</vt:i4>
      </vt:variant>
      <vt:variant>
        <vt:lpstr>Zakresy nazwane</vt:lpstr>
      </vt:variant>
      <vt:variant>
        <vt:i4>22</vt:i4>
      </vt:variant>
    </vt:vector>
  </HeadingPairs>
  <TitlesOfParts>
    <vt:vector size="64" baseType="lpstr">
      <vt:lpstr>INFO</vt:lpstr>
      <vt:lpstr>Wskaźniki</vt:lpstr>
      <vt:lpstr>Charakterystyka_2020</vt:lpstr>
      <vt:lpstr>Charakterystyka_2024</vt:lpstr>
      <vt:lpstr>En. elektryczna_2020</vt:lpstr>
      <vt:lpstr>En. elektryczna_2024</vt:lpstr>
      <vt:lpstr>Gaz_2020</vt:lpstr>
      <vt:lpstr>Gaz wykr.</vt:lpstr>
      <vt:lpstr>Gaz_2024</vt:lpstr>
      <vt:lpstr>Ciepło sieciowe_2020</vt:lpstr>
      <vt:lpstr>Ciepło sieciowe_2024</vt:lpstr>
      <vt:lpstr>Ciepło założenia</vt:lpstr>
      <vt:lpstr>Ciepło_gosp. dom._2020</vt:lpstr>
      <vt:lpstr>Ciepło_gosp. dom._2024</vt:lpstr>
      <vt:lpstr>Ankietyzacja mieszkanców_2014</vt:lpstr>
      <vt:lpstr>Budynki komunalne_2014</vt:lpstr>
      <vt:lpstr>Budynku niekomunalne_2014</vt:lpstr>
      <vt:lpstr>Oświetlenie komunalne_2020</vt:lpstr>
      <vt:lpstr>Oświetlenie komunalne_2024</vt:lpstr>
      <vt:lpstr>Transport prywatny_2020</vt:lpstr>
      <vt:lpstr>Transport prywatny_2024</vt:lpstr>
      <vt:lpstr>Transport komercyjny_2020</vt:lpstr>
      <vt:lpstr>Transport komercyjny_2024</vt:lpstr>
      <vt:lpstr>Transport kom. autobusy_2020</vt:lpstr>
      <vt:lpstr>Transport kom. autobusy_2024</vt:lpstr>
      <vt:lpstr>Tabor gminny_2020</vt:lpstr>
      <vt:lpstr>Tabor gminny_2024</vt:lpstr>
      <vt:lpstr>Podsumowanie transport_2020</vt:lpstr>
      <vt:lpstr>Podsumowanie transport_2024</vt:lpstr>
      <vt:lpstr>Końcowe zuż. energii_2020</vt:lpstr>
      <vt:lpstr>Emisja CO2_2020</vt:lpstr>
      <vt:lpstr>Końcowe zuż. energii_2024</vt:lpstr>
      <vt:lpstr>Emisja CO2_2024</vt:lpstr>
      <vt:lpstr>Działania_2020</vt:lpstr>
      <vt:lpstr>Działania_zrealizowane_do_2020</vt:lpstr>
      <vt:lpstr>Działania_zrealizowane </vt:lpstr>
      <vt:lpstr>Działania_2024</vt:lpstr>
      <vt:lpstr>Działania_do realizacji</vt:lpstr>
      <vt:lpstr>Planowane rezultaty</vt:lpstr>
      <vt:lpstr>Wskaźniki  rezultatów</vt:lpstr>
      <vt:lpstr>Działanie P&amp;R</vt:lpstr>
      <vt:lpstr>Ścieżki rowerowe</vt:lpstr>
      <vt:lpstr>'Ankietyzacja mieszkanców_2014'!Obszar_wydruku</vt:lpstr>
      <vt:lpstr>Charakterystyka_2020!Obszar_wydruku</vt:lpstr>
      <vt:lpstr>Charakterystyka_2024!Obszar_wydruku</vt:lpstr>
      <vt:lpstr>'Ciepło_gosp. dom._2020'!Obszar_wydruku</vt:lpstr>
      <vt:lpstr>'Ciepło_gosp. dom._2024'!Obszar_wydruku</vt:lpstr>
      <vt:lpstr>Działania_2020!Obszar_wydruku</vt:lpstr>
      <vt:lpstr>Działania_2024!Obszar_wydruku</vt:lpstr>
      <vt:lpstr>Działania_zrealizowane_do_2020!Obszar_wydruku</vt:lpstr>
      <vt:lpstr>'En. elektryczna_2020'!Obszar_wydruku</vt:lpstr>
      <vt:lpstr>'En. elektryczna_2024'!Obszar_wydruku</vt:lpstr>
      <vt:lpstr>'Gaz wykr.'!Obszar_wydruku</vt:lpstr>
      <vt:lpstr>Gaz_2020!Obszar_wydruku</vt:lpstr>
      <vt:lpstr>Gaz_2024!Obszar_wydruku</vt:lpstr>
      <vt:lpstr>'Końcowe zuż. energii_2024'!Obszar_wydruku</vt:lpstr>
      <vt:lpstr>'Oświetlenie komunalne_2020'!Obszar_wydruku</vt:lpstr>
      <vt:lpstr>'Oświetlenie komunalne_2024'!Obszar_wydruku</vt:lpstr>
      <vt:lpstr>'Planowane rezultaty'!Obszar_wydruku</vt:lpstr>
      <vt:lpstr>'Transport prywatny_2020'!Obszar_wydruku</vt:lpstr>
      <vt:lpstr>'Transport prywatny_2024'!Obszar_wydruku</vt:lpstr>
      <vt:lpstr>Wskaźniki!Obszar_wydruku</vt:lpstr>
      <vt:lpstr>Charakterystyka_2020!Tytuły_wydruku</vt:lpstr>
      <vt:lpstr>Charakterystyka_2024!Tytuły_wydruku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</dc:creator>
  <cp:lastModifiedBy>Gospodarka Odpadami</cp:lastModifiedBy>
  <cp:lastPrinted>2023-01-25T13:43:28Z</cp:lastPrinted>
  <dcterms:created xsi:type="dcterms:W3CDTF">2014-12-03T21:36:36Z</dcterms:created>
  <dcterms:modified xsi:type="dcterms:W3CDTF">2023-01-25T13:44:29Z</dcterms:modified>
</cp:coreProperties>
</file>